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asiandevbank-my.sharepoint.com/personal/ctupoulahifusimalohi_consultant_adb_org/Documents/2024 TA reports/NIIP/Nauru/"/>
    </mc:Choice>
  </mc:AlternateContent>
  <xr:revisionPtr revIDLastSave="0" documentId="8_{F5DEB42E-45DD-46BC-A27C-7ED5FFD6D0BD}" xr6:coauthVersionLast="47" xr6:coauthVersionMax="47" xr10:uidLastSave="{00000000-0000-0000-0000-000000000000}"/>
  <bookViews>
    <workbookView xWindow="-110" yWindow="-110" windowWidth="19420" windowHeight="10420" firstSheet="13" activeTab="15" xr2:uid="{00000000-000D-0000-FFFF-FFFF00000000}"/>
  </bookViews>
  <sheets>
    <sheet name="AR-Hierarchy " sheetId="25" r:id="rId1"/>
    <sheet name="Civil Aviation Buildings" sheetId="39" r:id="rId2"/>
    <sheet name="CIE Buildings" sheetId="45" r:id="rId3"/>
    <sheet name="Dept of Education Buildings" sheetId="2" r:id="rId4"/>
    <sheet name="Health Buildings" sheetId="43" r:id="rId5"/>
    <sheet name="Dept of Infrastructure" sheetId="68" r:id="rId6"/>
    <sheet name="Emergency Services" sheetId="72" r:id="rId7"/>
    <sheet name="Fisheries Buildings" sheetId="42" r:id="rId8"/>
    <sheet name="ICT Buildings" sheetId="41" r:id="rId9"/>
    <sheet name="Justice and Border Cont Bldings" sheetId="38" r:id="rId10"/>
    <sheet name="Multi Cuture Affairs Bldgs" sheetId="75" r:id="rId11"/>
    <sheet name="Nauru Media Bureau" sheetId="69" r:id="rId12"/>
    <sheet name="Port Authority Buildings" sheetId="55" r:id="rId13"/>
    <sheet name="Police Force builidngs" sheetId="73" r:id="rId14"/>
    <sheet name="Public Serv Admin" sheetId="74" r:id="rId15"/>
    <sheet name="Asset Register Summary" sheetId="50" r:id="rId16"/>
    <sheet name="Sealed Roads" sheetId="32" r:id="rId17"/>
    <sheet name="Footpath" sheetId="37" r:id="rId18"/>
    <sheet name="Unsealed Roads" sheetId="34" r:id="rId19"/>
    <sheet name="Airstrip" sheetId="46" r:id="rId20"/>
    <sheet name="Air Navigation Equipment" sheetId="49" r:id="rId21"/>
    <sheet name="Seawalls" sheetId="67" r:id="rId22"/>
    <sheet name="Boat Harbor" sheetId="57" r:id="rId23"/>
    <sheet name="ICT Towers &amp; Other Equipment" sheetId="48" r:id="rId24"/>
    <sheet name="GRC and TUL Assumptions" sheetId="27" r:id="rId25"/>
    <sheet name="Maintenace Cost Assumptions" sheetId="35" r:id="rId26"/>
    <sheet name="Inflation Adjustments" sheetId="33" r:id="rId27"/>
    <sheet name="Condition rating weights" sheetId="11" r:id="rId28"/>
    <sheet name="PCRAFI Meta Data" sheetId="28" r:id="rId29"/>
    <sheet name="Building Meta Data" sheetId="30" r:id="rId3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34" i="67" l="1"/>
  <c r="AV34" i="67"/>
  <c r="AS34" i="67"/>
  <c r="AU34" i="67" s="1"/>
  <c r="AX34" i="67" s="1"/>
  <c r="AR34" i="67"/>
  <c r="AW33" i="67"/>
  <c r="AV33" i="67"/>
  <c r="AY33" i="67" s="1"/>
  <c r="Y33" i="67" s="1"/>
  <c r="Z33" i="67" s="1"/>
  <c r="AU33" i="67"/>
  <c r="AX33" i="67" s="1"/>
  <c r="AT33" i="67"/>
  <c r="AS33" i="67"/>
  <c r="AR33" i="67"/>
  <c r="AW32" i="67"/>
  <c r="AV32" i="67"/>
  <c r="AS32" i="67"/>
  <c r="AC32" i="67" s="1"/>
  <c r="AR32" i="67"/>
  <c r="AG33" i="67"/>
  <c r="AG32" i="67"/>
  <c r="AD33" i="67"/>
  <c r="AC33" i="67"/>
  <c r="AD32" i="67"/>
  <c r="DA12" i="46"/>
  <c r="CM12" i="46"/>
  <c r="CL12" i="46"/>
  <c r="BT12" i="46"/>
  <c r="CW12" i="46" s="1"/>
  <c r="BS12" i="46"/>
  <c r="BQ12" i="46"/>
  <c r="BG12" i="46"/>
  <c r="CQ12" i="46" s="1"/>
  <c r="CT12" i="46" s="1"/>
  <c r="BF12" i="46"/>
  <c r="BL12" i="46" s="1"/>
  <c r="BX12" i="46" s="1"/>
  <c r="BE12" i="46"/>
  <c r="BK12" i="46" s="1"/>
  <c r="BP12" i="46" s="1"/>
  <c r="BD12" i="46"/>
  <c r="DA11" i="46"/>
  <c r="CM11" i="46"/>
  <c r="CL11" i="46"/>
  <c r="BT11" i="46"/>
  <c r="CW11" i="46" s="1"/>
  <c r="BS11" i="46"/>
  <c r="BQ11" i="46"/>
  <c r="BG11" i="46"/>
  <c r="CQ11" i="46" s="1"/>
  <c r="CT11" i="46" s="1"/>
  <c r="BF11" i="46"/>
  <c r="BL11" i="46" s="1"/>
  <c r="BX11" i="46" s="1"/>
  <c r="BE11" i="46"/>
  <c r="BJ11" i="46" s="1"/>
  <c r="AF11" i="46" s="1"/>
  <c r="BD11" i="46"/>
  <c r="AM12" i="46"/>
  <c r="AM11" i="46"/>
  <c r="CY16" i="34"/>
  <c r="CO16" i="34"/>
  <c r="BQ16" i="34"/>
  <c r="BO16" i="34"/>
  <c r="CE16" i="34" s="1"/>
  <c r="CK16" i="34" s="1"/>
  <c r="BI16" i="34"/>
  <c r="BN16" i="34" s="1"/>
  <c r="BH16" i="34"/>
  <c r="AE16" i="34" s="1"/>
  <c r="BD16" i="34"/>
  <c r="BJ16" i="34" s="1"/>
  <c r="BC16" i="34"/>
  <c r="BB16" i="34"/>
  <c r="CY15" i="34"/>
  <c r="CO15" i="34"/>
  <c r="BQ15" i="34"/>
  <c r="BO15" i="34"/>
  <c r="CE15" i="34" s="1"/>
  <c r="CK15" i="34" s="1"/>
  <c r="BI15" i="34"/>
  <c r="BN15" i="34" s="1"/>
  <c r="BH15" i="34"/>
  <c r="AE15" i="34" s="1"/>
  <c r="BD15" i="34"/>
  <c r="CN15" i="34" s="1"/>
  <c r="CR15" i="34" s="1"/>
  <c r="BC15" i="34"/>
  <c r="BB15" i="34"/>
  <c r="CY14" i="34"/>
  <c r="CO14" i="34"/>
  <c r="BQ14" i="34"/>
  <c r="BO14" i="34"/>
  <c r="CE14" i="34" s="1"/>
  <c r="CK14" i="34" s="1"/>
  <c r="BI14" i="34"/>
  <c r="BN14" i="34" s="1"/>
  <c r="BH14" i="34"/>
  <c r="BD14" i="34"/>
  <c r="CN14" i="34" s="1"/>
  <c r="CR14" i="34" s="1"/>
  <c r="BC14" i="34"/>
  <c r="BB14" i="34"/>
  <c r="CY13" i="34"/>
  <c r="CO13" i="34"/>
  <c r="BQ13" i="34"/>
  <c r="BO13" i="34"/>
  <c r="CE13" i="34" s="1"/>
  <c r="CK13" i="34" s="1"/>
  <c r="BI13" i="34"/>
  <c r="BN13" i="34" s="1"/>
  <c r="BH13" i="34"/>
  <c r="AE13" i="34" s="1"/>
  <c r="BD13" i="34"/>
  <c r="CN13" i="34" s="1"/>
  <c r="CR13" i="34" s="1"/>
  <c r="BC13" i="34"/>
  <c r="BB13" i="34"/>
  <c r="AK16" i="34"/>
  <c r="AK15" i="34"/>
  <c r="AK14" i="34"/>
  <c r="AK13" i="34"/>
  <c r="AF16" i="34"/>
  <c r="AF15" i="34"/>
  <c r="AF14" i="34"/>
  <c r="AE14" i="34"/>
  <c r="AF13" i="34"/>
  <c r="AG12" i="46"/>
  <c r="AG11" i="46"/>
  <c r="AD33" i="37"/>
  <c r="AC33" i="37"/>
  <c r="AB33" i="37"/>
  <c r="AA33" i="37"/>
  <c r="Z33" i="37"/>
  <c r="Y33" i="37"/>
  <c r="X33" i="37"/>
  <c r="BC28" i="37"/>
  <c r="BD28" i="37" s="1"/>
  <c r="BE28" i="37" s="1"/>
  <c r="Y28" i="37" s="1"/>
  <c r="Z28" i="37" s="1"/>
  <c r="AB28" i="37" s="1"/>
  <c r="BB28" i="37"/>
  <c r="BA28" i="37"/>
  <c r="AZ28" i="37"/>
  <c r="AY28" i="37"/>
  <c r="BC27" i="37"/>
  <c r="BD27" i="37" s="1"/>
  <c r="BE27" i="37" s="1"/>
  <c r="Y27" i="37" s="1"/>
  <c r="Z27" i="37" s="1"/>
  <c r="AB27" i="37" s="1"/>
  <c r="BB27" i="37"/>
  <c r="AZ27" i="37"/>
  <c r="BA27" i="37" s="1"/>
  <c r="AY27" i="37"/>
  <c r="BC26" i="37"/>
  <c r="BB26" i="37"/>
  <c r="AZ26" i="37"/>
  <c r="BA26" i="37" s="1"/>
  <c r="BD26" i="37" s="1"/>
  <c r="BE26" i="37" s="1"/>
  <c r="Y26" i="37" s="1"/>
  <c r="Z26" i="37" s="1"/>
  <c r="AB26" i="37" s="1"/>
  <c r="AY26" i="37"/>
  <c r="BC25" i="37"/>
  <c r="BB25" i="37"/>
  <c r="AZ25" i="37"/>
  <c r="BA25" i="37" s="1"/>
  <c r="AY25" i="37"/>
  <c r="BC24" i="37"/>
  <c r="BD24" i="37" s="1"/>
  <c r="BE24" i="37" s="1"/>
  <c r="Y24" i="37" s="1"/>
  <c r="Z24" i="37" s="1"/>
  <c r="AB24" i="37" s="1"/>
  <c r="BB24" i="37"/>
  <c r="AZ24" i="37"/>
  <c r="BA24" i="37" s="1"/>
  <c r="AY24" i="37"/>
  <c r="BC23" i="37"/>
  <c r="BB23" i="37"/>
  <c r="AZ23" i="37"/>
  <c r="BA23" i="37" s="1"/>
  <c r="BD23" i="37" s="1"/>
  <c r="BE23" i="37" s="1"/>
  <c r="Y23" i="37" s="1"/>
  <c r="Z23" i="37" s="1"/>
  <c r="AB23" i="37" s="1"/>
  <c r="AY23" i="37"/>
  <c r="AH26" i="37"/>
  <c r="AH25" i="37"/>
  <c r="AH24" i="37"/>
  <c r="AH23" i="37"/>
  <c r="AD28" i="37"/>
  <c r="AC28" i="37"/>
  <c r="AA28" i="37"/>
  <c r="AD27" i="37"/>
  <c r="AA27" i="37"/>
  <c r="AD26" i="37"/>
  <c r="AC26" i="37"/>
  <c r="AA26" i="37"/>
  <c r="AD25" i="37"/>
  <c r="AC25" i="37"/>
  <c r="AA25" i="37"/>
  <c r="AD24" i="37"/>
  <c r="AC24" i="37"/>
  <c r="AA24" i="37"/>
  <c r="AD23" i="37"/>
  <c r="AC23" i="37"/>
  <c r="AA23" i="37"/>
  <c r="AP33" i="32"/>
  <c r="AP32" i="32"/>
  <c r="AP31" i="32"/>
  <c r="AP30" i="32"/>
  <c r="AP29" i="32"/>
  <c r="AP28" i="32"/>
  <c r="AP27" i="32"/>
  <c r="AI44" i="32"/>
  <c r="AH44" i="32"/>
  <c r="AG44" i="32"/>
  <c r="AF44" i="32"/>
  <c r="AE44" i="32"/>
  <c r="AD44" i="32"/>
  <c r="AB44" i="32"/>
  <c r="AI37" i="32"/>
  <c r="AH37" i="32"/>
  <c r="AF37" i="32"/>
  <c r="AE37" i="32"/>
  <c r="AG37" i="32" s="1"/>
  <c r="AD37" i="32"/>
  <c r="AI36" i="32"/>
  <c r="AH36" i="32"/>
  <c r="AF36" i="32"/>
  <c r="AD36" i="32"/>
  <c r="AE36" i="32" s="1"/>
  <c r="AG36" i="32" s="1"/>
  <c r="AI35" i="32"/>
  <c r="AH35" i="32"/>
  <c r="AF35" i="32"/>
  <c r="AD35" i="32"/>
  <c r="AE35" i="32" s="1"/>
  <c r="AG35" i="32" s="1"/>
  <c r="AI34" i="32"/>
  <c r="AH34" i="32"/>
  <c r="AF34" i="32"/>
  <c r="AD34" i="32"/>
  <c r="AE34" i="32" s="1"/>
  <c r="AG34" i="32" s="1"/>
  <c r="AI33" i="32"/>
  <c r="AH33" i="32"/>
  <c r="AF33" i="32"/>
  <c r="AD33" i="32"/>
  <c r="AE33" i="32" s="1"/>
  <c r="AG33" i="32" s="1"/>
  <c r="AI32" i="32"/>
  <c r="AH32" i="32"/>
  <c r="AF32" i="32"/>
  <c r="AE32" i="32"/>
  <c r="AG32" i="32" s="1"/>
  <c r="AD32" i="32"/>
  <c r="AI31" i="32"/>
  <c r="AH31" i="32"/>
  <c r="AF31" i="32"/>
  <c r="AE31" i="32"/>
  <c r="AG31" i="32" s="1"/>
  <c r="AD31" i="32"/>
  <c r="AI30" i="32"/>
  <c r="AH30" i="32"/>
  <c r="AF30" i="32"/>
  <c r="AD30" i="32"/>
  <c r="AE30" i="32" s="1"/>
  <c r="AG30" i="32" s="1"/>
  <c r="AI29" i="32"/>
  <c r="AH29" i="32"/>
  <c r="AF29" i="32"/>
  <c r="AE29" i="32"/>
  <c r="AG29" i="32" s="1"/>
  <c r="AD29" i="32"/>
  <c r="AI28" i="32"/>
  <c r="AH28" i="32"/>
  <c r="AF28" i="32"/>
  <c r="AD28" i="32"/>
  <c r="AE28" i="32" s="1"/>
  <c r="AG28" i="32" s="1"/>
  <c r="AI27" i="32"/>
  <c r="AH27" i="32"/>
  <c r="AF27" i="32"/>
  <c r="AD27" i="32"/>
  <c r="AE27" i="32" s="1"/>
  <c r="AG27" i="32" s="1"/>
  <c r="AT50" i="74"/>
  <c r="AS50" i="74"/>
  <c r="AR50" i="74"/>
  <c r="AQ50" i="74"/>
  <c r="AP50" i="74"/>
  <c r="AO50" i="74"/>
  <c r="AN50" i="74"/>
  <c r="AM50" i="74"/>
  <c r="BG28" i="74"/>
  <c r="BG27" i="74"/>
  <c r="BG26" i="74"/>
  <c r="BG25" i="74"/>
  <c r="BG24" i="74"/>
  <c r="BG23" i="74"/>
  <c r="BG22" i="74"/>
  <c r="DP30" i="74"/>
  <c r="EA30" i="74" s="1"/>
  <c r="DN30" i="74"/>
  <c r="DM30" i="74"/>
  <c r="DL30" i="74"/>
  <c r="DK30" i="74"/>
  <c r="DJ30" i="74"/>
  <c r="DI30" i="74"/>
  <c r="DH30" i="74"/>
  <c r="DG30" i="74"/>
  <c r="DF30" i="74"/>
  <c r="DE30" i="74"/>
  <c r="DD30" i="74"/>
  <c r="DC30" i="74"/>
  <c r="DB30" i="74"/>
  <c r="DX30" i="74" s="1"/>
  <c r="DA30" i="74"/>
  <c r="DW30" i="74" s="1"/>
  <c r="CZ30" i="74"/>
  <c r="DV30" i="74" s="1"/>
  <c r="CT30" i="74"/>
  <c r="CS30" i="74"/>
  <c r="DO30" i="74" s="1"/>
  <c r="CQ30" i="74"/>
  <c r="CP30" i="74"/>
  <c r="CO30" i="74"/>
  <c r="CN30" i="74"/>
  <c r="CY30" i="74" s="1"/>
  <c r="DU30" i="74" s="1"/>
  <c r="CM30" i="74"/>
  <c r="CX30" i="74" s="1"/>
  <c r="DT30" i="74" s="1"/>
  <c r="CL30" i="74"/>
  <c r="CW30" i="74" s="1"/>
  <c r="DS30" i="74" s="1"/>
  <c r="CK30" i="74"/>
  <c r="CV30" i="74" s="1"/>
  <c r="DR30" i="74" s="1"/>
  <c r="CJ30" i="74"/>
  <c r="CU30" i="74" s="1"/>
  <c r="DQ30" i="74" s="1"/>
  <c r="CI30" i="74"/>
  <c r="CH30" i="74"/>
  <c r="CR30" i="74" s="1"/>
  <c r="DR29" i="74"/>
  <c r="EC29" i="74" s="1"/>
  <c r="DN29" i="74"/>
  <c r="DM29" i="74"/>
  <c r="DL29" i="74"/>
  <c r="DK29" i="74"/>
  <c r="DJ29" i="74"/>
  <c r="DI29" i="74"/>
  <c r="DH29" i="74"/>
  <c r="DG29" i="74"/>
  <c r="DF29" i="74"/>
  <c r="DE29" i="74"/>
  <c r="DD29" i="74"/>
  <c r="DB29" i="74"/>
  <c r="DX29" i="74" s="1"/>
  <c r="CV29" i="74"/>
  <c r="CU29" i="74"/>
  <c r="DQ29" i="74" s="1"/>
  <c r="CR29" i="74"/>
  <c r="CQ29" i="74"/>
  <c r="CP29" i="74"/>
  <c r="DA29" i="74" s="1"/>
  <c r="DW29" i="74" s="1"/>
  <c r="CO29" i="74"/>
  <c r="CZ29" i="74" s="1"/>
  <c r="DV29" i="74" s="1"/>
  <c r="CN29" i="74"/>
  <c r="CY29" i="74" s="1"/>
  <c r="DU29" i="74" s="1"/>
  <c r="CM29" i="74"/>
  <c r="CX29" i="74" s="1"/>
  <c r="DT29" i="74" s="1"/>
  <c r="CL29" i="74"/>
  <c r="CW29" i="74" s="1"/>
  <c r="DS29" i="74" s="1"/>
  <c r="CK29" i="74"/>
  <c r="CJ29" i="74"/>
  <c r="CI29" i="74"/>
  <c r="CT29" i="74" s="1"/>
  <c r="DP29" i="74" s="1"/>
  <c r="CH29" i="74"/>
  <c r="CS29" i="74" s="1"/>
  <c r="DT28" i="74"/>
  <c r="EE28" i="74" s="1"/>
  <c r="DN28" i="74"/>
  <c r="DM28" i="74"/>
  <c r="DL28" i="74"/>
  <c r="DK28" i="74"/>
  <c r="DJ28" i="74"/>
  <c r="DI28" i="74"/>
  <c r="DH28" i="74"/>
  <c r="DG28" i="74"/>
  <c r="DF28" i="74"/>
  <c r="DE28" i="74"/>
  <c r="DD28" i="74"/>
  <c r="CX28" i="74"/>
  <c r="CW28" i="74"/>
  <c r="DS28" i="74" s="1"/>
  <c r="CT28" i="74"/>
  <c r="DP28" i="74" s="1"/>
  <c r="CS28" i="74"/>
  <c r="DC28" i="74" s="1"/>
  <c r="CR28" i="74"/>
  <c r="CQ28" i="74"/>
  <c r="DB28" i="74" s="1"/>
  <c r="DX28" i="74" s="1"/>
  <c r="CP28" i="74"/>
  <c r="DA28" i="74" s="1"/>
  <c r="DW28" i="74" s="1"/>
  <c r="CO28" i="74"/>
  <c r="CZ28" i="74" s="1"/>
  <c r="DV28" i="74" s="1"/>
  <c r="CN28" i="74"/>
  <c r="CY28" i="74" s="1"/>
  <c r="DU28" i="74" s="1"/>
  <c r="CM28" i="74"/>
  <c r="CL28" i="74"/>
  <c r="CK28" i="74"/>
  <c r="CV28" i="74" s="1"/>
  <c r="DR28" i="74" s="1"/>
  <c r="CJ28" i="74"/>
  <c r="CU28" i="74" s="1"/>
  <c r="DQ28" i="74" s="1"/>
  <c r="CI28" i="74"/>
  <c r="CH28" i="74"/>
  <c r="DV27" i="74"/>
  <c r="EG27" i="74" s="1"/>
  <c r="DN27" i="74"/>
  <c r="DM27" i="74"/>
  <c r="DL27" i="74"/>
  <c r="DK27" i="74"/>
  <c r="DJ27" i="74"/>
  <c r="DI27" i="74"/>
  <c r="DH27" i="74"/>
  <c r="DG27" i="74"/>
  <c r="DF27" i="74"/>
  <c r="DE27" i="74"/>
  <c r="DD27" i="74"/>
  <c r="CZ27" i="74"/>
  <c r="CY27" i="74"/>
  <c r="DU27" i="74" s="1"/>
  <c r="CV27" i="74"/>
  <c r="DR27" i="74" s="1"/>
  <c r="CU27" i="74"/>
  <c r="DQ27" i="74" s="1"/>
  <c r="CT27" i="74"/>
  <c r="DP27" i="74" s="1"/>
  <c r="CS27" i="74"/>
  <c r="DC27" i="74" s="1"/>
  <c r="CR27" i="74"/>
  <c r="CQ27" i="74"/>
  <c r="DB27" i="74" s="1"/>
  <c r="DX27" i="74" s="1"/>
  <c r="CP27" i="74"/>
  <c r="DA27" i="74" s="1"/>
  <c r="DW27" i="74" s="1"/>
  <c r="CO27" i="74"/>
  <c r="CN27" i="74"/>
  <c r="CM27" i="74"/>
  <c r="CX27" i="74" s="1"/>
  <c r="DT27" i="74" s="1"/>
  <c r="CL27" i="74"/>
  <c r="CW27" i="74" s="1"/>
  <c r="DS27" i="74" s="1"/>
  <c r="CK27" i="74"/>
  <c r="CJ27" i="74"/>
  <c r="CI27" i="74"/>
  <c r="CH27" i="74"/>
  <c r="DX26" i="74"/>
  <c r="EI26" i="74" s="1"/>
  <c r="DN26" i="74"/>
  <c r="DM26" i="74"/>
  <c r="DL26" i="74"/>
  <c r="DK26" i="74"/>
  <c r="DJ26" i="74"/>
  <c r="DI26" i="74"/>
  <c r="DH26" i="74"/>
  <c r="DG26" i="74"/>
  <c r="DF26" i="74"/>
  <c r="DE26" i="74"/>
  <c r="DD26" i="74"/>
  <c r="DB26" i="74"/>
  <c r="DA26" i="74"/>
  <c r="DW26" i="74" s="1"/>
  <c r="CX26" i="74"/>
  <c r="DT26" i="74" s="1"/>
  <c r="CW26" i="74"/>
  <c r="DS26" i="74" s="1"/>
  <c r="CV26" i="74"/>
  <c r="DR26" i="74" s="1"/>
  <c r="CU26" i="74"/>
  <c r="DQ26" i="74" s="1"/>
  <c r="CT26" i="74"/>
  <c r="DP26" i="74" s="1"/>
  <c r="CS26" i="74"/>
  <c r="DC26" i="74" s="1"/>
  <c r="CR26" i="74"/>
  <c r="CQ26" i="74"/>
  <c r="CP26" i="74"/>
  <c r="CO26" i="74"/>
  <c r="CZ26" i="74" s="1"/>
  <c r="DV26" i="74" s="1"/>
  <c r="CN26" i="74"/>
  <c r="CY26" i="74" s="1"/>
  <c r="DU26" i="74" s="1"/>
  <c r="CM26" i="74"/>
  <c r="CL26" i="74"/>
  <c r="CK26" i="74"/>
  <c r="CJ26" i="74"/>
  <c r="CI26" i="74"/>
  <c r="CH26" i="74"/>
  <c r="DN25" i="74"/>
  <c r="DM25" i="74"/>
  <c r="DL25" i="74"/>
  <c r="DK25" i="74"/>
  <c r="DJ25" i="74"/>
  <c r="DI25" i="74"/>
  <c r="DH25" i="74"/>
  <c r="DG25" i="74"/>
  <c r="DF25" i="74"/>
  <c r="DE25" i="74"/>
  <c r="DD25" i="74"/>
  <c r="CZ25" i="74"/>
  <c r="DV25" i="74" s="1"/>
  <c r="CY25" i="74"/>
  <c r="DU25" i="74" s="1"/>
  <c r="CX25" i="74"/>
  <c r="DT25" i="74" s="1"/>
  <c r="CW25" i="74"/>
  <c r="DS25" i="74" s="1"/>
  <c r="CV25" i="74"/>
  <c r="DR25" i="74" s="1"/>
  <c r="CU25" i="74"/>
  <c r="DQ25" i="74" s="1"/>
  <c r="CT25" i="74"/>
  <c r="DP25" i="74" s="1"/>
  <c r="CQ25" i="74"/>
  <c r="DB25" i="74" s="1"/>
  <c r="DX25" i="74" s="1"/>
  <c r="CP25" i="74"/>
  <c r="DA25" i="74" s="1"/>
  <c r="DW25" i="74" s="1"/>
  <c r="CO25" i="74"/>
  <c r="CN25" i="74"/>
  <c r="CM25" i="74"/>
  <c r="CL25" i="74"/>
  <c r="CK25" i="74"/>
  <c r="CJ25" i="74"/>
  <c r="CI25" i="74"/>
  <c r="CH25" i="74"/>
  <c r="CS25" i="74" s="1"/>
  <c r="DN24" i="74"/>
  <c r="DM24" i="74"/>
  <c r="DL24" i="74"/>
  <c r="DK24" i="74"/>
  <c r="DJ24" i="74"/>
  <c r="DI24" i="74"/>
  <c r="DH24" i="74"/>
  <c r="DG24" i="74"/>
  <c r="DF24" i="74"/>
  <c r="DE24" i="74"/>
  <c r="DD24" i="74"/>
  <c r="DB24" i="74"/>
  <c r="DX24" i="74" s="1"/>
  <c r="DA24" i="74"/>
  <c r="DW24" i="74" s="1"/>
  <c r="CZ24" i="74"/>
  <c r="DV24" i="74" s="1"/>
  <c r="CY24" i="74"/>
  <c r="DU24" i="74" s="1"/>
  <c r="CX24" i="74"/>
  <c r="DT24" i="74" s="1"/>
  <c r="CW24" i="74"/>
  <c r="DS24" i="74" s="1"/>
  <c r="CV24" i="74"/>
  <c r="DR24" i="74" s="1"/>
  <c r="CQ24" i="74"/>
  <c r="CP24" i="74"/>
  <c r="CO24" i="74"/>
  <c r="CN24" i="74"/>
  <c r="CM24" i="74"/>
  <c r="CL24" i="74"/>
  <c r="CK24" i="74"/>
  <c r="CJ24" i="74"/>
  <c r="CU24" i="74" s="1"/>
  <c r="DQ24" i="74" s="1"/>
  <c r="CI24" i="74"/>
  <c r="CT24" i="74" s="1"/>
  <c r="DP24" i="74" s="1"/>
  <c r="CH24" i="74"/>
  <c r="CS24" i="74" s="1"/>
  <c r="DN23" i="74"/>
  <c r="DM23" i="74"/>
  <c r="DL23" i="74"/>
  <c r="DK23" i="74"/>
  <c r="DJ23" i="74"/>
  <c r="DI23" i="74"/>
  <c r="DH23" i="74"/>
  <c r="DG23" i="74"/>
  <c r="DF23" i="74"/>
  <c r="DE23" i="74"/>
  <c r="DD23" i="74"/>
  <c r="DB23" i="74"/>
  <c r="DX23" i="74" s="1"/>
  <c r="DA23" i="74"/>
  <c r="DW23" i="74" s="1"/>
  <c r="CZ23" i="74"/>
  <c r="DV23" i="74" s="1"/>
  <c r="CY23" i="74"/>
  <c r="DU23" i="74" s="1"/>
  <c r="CX23" i="74"/>
  <c r="DT23" i="74" s="1"/>
  <c r="CQ23" i="74"/>
  <c r="CP23" i="74"/>
  <c r="CO23" i="74"/>
  <c r="CN23" i="74"/>
  <c r="CM23" i="74"/>
  <c r="CL23" i="74"/>
  <c r="CW23" i="74" s="1"/>
  <c r="DS23" i="74" s="1"/>
  <c r="CK23" i="74"/>
  <c r="CV23" i="74" s="1"/>
  <c r="DR23" i="74" s="1"/>
  <c r="CJ23" i="74"/>
  <c r="CU23" i="74" s="1"/>
  <c r="DQ23" i="74" s="1"/>
  <c r="CI23" i="74"/>
  <c r="CT23" i="74" s="1"/>
  <c r="DP23" i="74" s="1"/>
  <c r="CH23" i="74"/>
  <c r="DP22" i="74"/>
  <c r="DN22" i="74"/>
  <c r="DM22" i="74"/>
  <c r="DL22" i="74"/>
  <c r="DK22" i="74"/>
  <c r="DJ22" i="74"/>
  <c r="DI22" i="74"/>
  <c r="DH22" i="74"/>
  <c r="DG22" i="74"/>
  <c r="DF22" i="74"/>
  <c r="DE22" i="74"/>
  <c r="DD22" i="74"/>
  <c r="DC22" i="74"/>
  <c r="DB22" i="74"/>
  <c r="DX22" i="74" s="1"/>
  <c r="DA22" i="74"/>
  <c r="DW22" i="74" s="1"/>
  <c r="CZ22" i="74"/>
  <c r="DV22" i="74" s="1"/>
  <c r="CT22" i="74"/>
  <c r="CS22" i="74"/>
  <c r="DO22" i="74" s="1"/>
  <c r="CQ22" i="74"/>
  <c r="CP22" i="74"/>
  <c r="CO22" i="74"/>
  <c r="CN22" i="74"/>
  <c r="CY22" i="74" s="1"/>
  <c r="DU22" i="74" s="1"/>
  <c r="CM22" i="74"/>
  <c r="CX22" i="74" s="1"/>
  <c r="DT22" i="74" s="1"/>
  <c r="CL22" i="74"/>
  <c r="CW22" i="74" s="1"/>
  <c r="DS22" i="74" s="1"/>
  <c r="CK22" i="74"/>
  <c r="CV22" i="74" s="1"/>
  <c r="DR22" i="74" s="1"/>
  <c r="CJ22" i="74"/>
  <c r="CU22" i="74" s="1"/>
  <c r="DQ22" i="74" s="1"/>
  <c r="CI22" i="74"/>
  <c r="CH22" i="74"/>
  <c r="CR22" i="74" s="1"/>
  <c r="AT50" i="73"/>
  <c r="AS50" i="73"/>
  <c r="AR50" i="73"/>
  <c r="AQ50" i="73"/>
  <c r="AP50" i="73"/>
  <c r="AO50" i="73"/>
  <c r="AN50" i="73"/>
  <c r="AM50" i="73"/>
  <c r="B10" i="50" s="1"/>
  <c r="BG10" i="73"/>
  <c r="BG9" i="73"/>
  <c r="BG8" i="73"/>
  <c r="BG7" i="73"/>
  <c r="BG6" i="73"/>
  <c r="AT10" i="73"/>
  <c r="AS10" i="73"/>
  <c r="AQ10" i="73"/>
  <c r="AP10" i="73"/>
  <c r="AR10" i="73" s="1"/>
  <c r="AO10" i="73"/>
  <c r="AT9" i="73"/>
  <c r="AS9" i="73"/>
  <c r="AQ9" i="73"/>
  <c r="AO9" i="73"/>
  <c r="AP9" i="73" s="1"/>
  <c r="AR9" i="73" s="1"/>
  <c r="AT8" i="73"/>
  <c r="AS8" i="73"/>
  <c r="AQ8" i="73"/>
  <c r="AO8" i="73"/>
  <c r="AP8" i="73" s="1"/>
  <c r="AR8" i="73" s="1"/>
  <c r="AT7" i="73"/>
  <c r="AS7" i="73"/>
  <c r="AQ7" i="73"/>
  <c r="AO7" i="73"/>
  <c r="AP7" i="73" s="1"/>
  <c r="AR7" i="73" s="1"/>
  <c r="AT6" i="73"/>
  <c r="F10" i="50" s="1"/>
  <c r="AS6" i="73"/>
  <c r="E10" i="50" s="1"/>
  <c r="AQ6" i="73"/>
  <c r="AO6" i="73"/>
  <c r="AP6" i="73" s="1"/>
  <c r="AT50" i="69"/>
  <c r="AS50" i="69"/>
  <c r="AR50" i="69"/>
  <c r="AQ50" i="69"/>
  <c r="AP50" i="69"/>
  <c r="AO50" i="69"/>
  <c r="AN50" i="69"/>
  <c r="AM50" i="69"/>
  <c r="BG10" i="69"/>
  <c r="BG9" i="69"/>
  <c r="BG8" i="69"/>
  <c r="BG7" i="69"/>
  <c r="BG6" i="69"/>
  <c r="AT10" i="69"/>
  <c r="AS10" i="69"/>
  <c r="AQ10" i="69"/>
  <c r="AO10" i="69"/>
  <c r="AP10" i="69" s="1"/>
  <c r="AR10" i="69" s="1"/>
  <c r="AT9" i="69"/>
  <c r="AS9" i="69"/>
  <c r="AQ9" i="69"/>
  <c r="AO9" i="69"/>
  <c r="AP9" i="69" s="1"/>
  <c r="AR9" i="69" s="1"/>
  <c r="AT8" i="69"/>
  <c r="AS8" i="69"/>
  <c r="AQ8" i="69"/>
  <c r="AR8" i="69" s="1"/>
  <c r="AP8" i="69"/>
  <c r="AO8" i="69"/>
  <c r="AT7" i="69"/>
  <c r="AS7" i="69"/>
  <c r="AQ7" i="69"/>
  <c r="AO7" i="69"/>
  <c r="AP7" i="69" s="1"/>
  <c r="AR7" i="69" s="1"/>
  <c r="AT6" i="69"/>
  <c r="AS6" i="69"/>
  <c r="AQ6" i="69"/>
  <c r="AO6" i="69"/>
  <c r="AT50" i="75"/>
  <c r="AS50" i="75"/>
  <c r="AR50" i="75"/>
  <c r="AQ50" i="75"/>
  <c r="AP50" i="75"/>
  <c r="AO50" i="75"/>
  <c r="AN50" i="75"/>
  <c r="AM50" i="75"/>
  <c r="AT50" i="38"/>
  <c r="AS50" i="38"/>
  <c r="AR50" i="38"/>
  <c r="AQ50" i="38"/>
  <c r="AP50" i="38"/>
  <c r="AO50" i="38"/>
  <c r="AN50" i="38"/>
  <c r="AM50" i="38"/>
  <c r="AT50" i="41"/>
  <c r="AS50" i="41"/>
  <c r="AR50" i="41"/>
  <c r="AQ50" i="41"/>
  <c r="AP50" i="41"/>
  <c r="AO50" i="41"/>
  <c r="AN50" i="41"/>
  <c r="AM50" i="41"/>
  <c r="B13" i="50" s="1"/>
  <c r="AT50" i="42"/>
  <c r="AS50" i="42"/>
  <c r="AR50" i="42"/>
  <c r="AQ50" i="42"/>
  <c r="AP50" i="42"/>
  <c r="AO50" i="42"/>
  <c r="C15" i="50" s="1"/>
  <c r="AN50" i="42"/>
  <c r="AM50" i="42"/>
  <c r="AT51" i="72"/>
  <c r="AS51" i="72"/>
  <c r="AR51" i="72"/>
  <c r="AQ51" i="72"/>
  <c r="AP51" i="72"/>
  <c r="AO51" i="72"/>
  <c r="AN51" i="72"/>
  <c r="AM51" i="72"/>
  <c r="B11" i="50" s="1"/>
  <c r="AT50" i="68"/>
  <c r="AS50" i="68"/>
  <c r="AR50" i="68"/>
  <c r="AQ50" i="68"/>
  <c r="AP50" i="68"/>
  <c r="AO50" i="68"/>
  <c r="AN50" i="68"/>
  <c r="AM50" i="68"/>
  <c r="B12" i="50" s="1"/>
  <c r="AT50" i="43"/>
  <c r="AS50" i="43"/>
  <c r="AR50" i="43"/>
  <c r="AQ50" i="43"/>
  <c r="AP50" i="43"/>
  <c r="AO50" i="43"/>
  <c r="AN50" i="43"/>
  <c r="AM50" i="43"/>
  <c r="AT50" i="2"/>
  <c r="AS50" i="2"/>
  <c r="AR50" i="2"/>
  <c r="AQ50" i="2"/>
  <c r="AP50" i="2"/>
  <c r="AO50" i="2"/>
  <c r="AT50" i="45"/>
  <c r="AS50" i="45"/>
  <c r="AR50" i="45"/>
  <c r="AQ50" i="45"/>
  <c r="AP50" i="45"/>
  <c r="AO50" i="45"/>
  <c r="AT50" i="39"/>
  <c r="AS50" i="39"/>
  <c r="AR50" i="39"/>
  <c r="AQ50" i="39"/>
  <c r="AP50" i="39"/>
  <c r="AO50" i="39"/>
  <c r="BG17" i="75"/>
  <c r="BG16" i="75"/>
  <c r="BG15" i="75"/>
  <c r="BG14" i="75"/>
  <c r="BG13" i="75"/>
  <c r="BG12" i="75"/>
  <c r="BG11" i="75"/>
  <c r="BG10" i="75"/>
  <c r="BG9" i="75"/>
  <c r="AT15" i="75"/>
  <c r="AS15" i="75"/>
  <c r="AQ15" i="75"/>
  <c r="AO15" i="75"/>
  <c r="AP15" i="75" s="1"/>
  <c r="AR15" i="75" s="1"/>
  <c r="AT14" i="75"/>
  <c r="AS14" i="75"/>
  <c r="AQ14" i="75"/>
  <c r="AO14" i="75"/>
  <c r="AP14" i="75" s="1"/>
  <c r="AR14" i="75" s="1"/>
  <c r="AT13" i="75"/>
  <c r="AS13" i="75"/>
  <c r="AQ13" i="75"/>
  <c r="AO13" i="75"/>
  <c r="AP13" i="75" s="1"/>
  <c r="AR13" i="75" s="1"/>
  <c r="AT12" i="75"/>
  <c r="AS12" i="75"/>
  <c r="AQ12" i="75"/>
  <c r="AP12" i="75"/>
  <c r="AR12" i="75" s="1"/>
  <c r="AO12" i="75"/>
  <c r="AT11" i="75"/>
  <c r="AS11" i="75"/>
  <c r="AQ11" i="75"/>
  <c r="AO11" i="75"/>
  <c r="AP11" i="75" s="1"/>
  <c r="AR11" i="75" s="1"/>
  <c r="AT10" i="75"/>
  <c r="F8" i="50" s="1"/>
  <c r="AS10" i="75"/>
  <c r="AQ10" i="75"/>
  <c r="AO10" i="75"/>
  <c r="AP10" i="75" s="1"/>
  <c r="AR10" i="75" s="1"/>
  <c r="AT9" i="75"/>
  <c r="AS9" i="75"/>
  <c r="AQ9" i="75"/>
  <c r="AO9" i="75"/>
  <c r="AP9" i="75" s="1"/>
  <c r="BG27" i="38"/>
  <c r="BG26" i="38"/>
  <c r="BG25" i="38"/>
  <c r="BG24" i="38"/>
  <c r="BG23" i="38"/>
  <c r="BG22" i="38"/>
  <c r="BG21" i="38"/>
  <c r="BG20" i="38"/>
  <c r="BG19" i="38"/>
  <c r="BG18" i="38"/>
  <c r="BG17" i="38"/>
  <c r="BG16" i="38"/>
  <c r="BG15" i="38"/>
  <c r="BG14" i="38"/>
  <c r="BG13" i="38"/>
  <c r="BG12" i="38"/>
  <c r="AT20" i="38"/>
  <c r="AS20" i="38"/>
  <c r="AQ20" i="38"/>
  <c r="AO20" i="38"/>
  <c r="AP20" i="38" s="1"/>
  <c r="AR20" i="38" s="1"/>
  <c r="AT19" i="38"/>
  <c r="AS19" i="38"/>
  <c r="AQ19" i="38"/>
  <c r="AO19" i="38"/>
  <c r="AP19" i="38" s="1"/>
  <c r="AR19" i="38" s="1"/>
  <c r="AT18" i="38"/>
  <c r="AS18" i="38"/>
  <c r="AQ18" i="38"/>
  <c r="AO18" i="38"/>
  <c r="AP18" i="38" s="1"/>
  <c r="AR18" i="38" s="1"/>
  <c r="AT17" i="38"/>
  <c r="AS17" i="38"/>
  <c r="AQ17" i="38"/>
  <c r="AO17" i="38"/>
  <c r="AP17" i="38" s="1"/>
  <c r="AR17" i="38" s="1"/>
  <c r="AT16" i="38"/>
  <c r="AS16" i="38"/>
  <c r="AQ16" i="38"/>
  <c r="AO16" i="38"/>
  <c r="AP16" i="38" s="1"/>
  <c r="AR16" i="38" s="1"/>
  <c r="AT15" i="38"/>
  <c r="AS15" i="38"/>
  <c r="AQ15" i="38"/>
  <c r="AO15" i="38"/>
  <c r="AP15" i="38" s="1"/>
  <c r="AR15" i="38" s="1"/>
  <c r="AT14" i="38"/>
  <c r="AS14" i="38"/>
  <c r="AQ14" i="38"/>
  <c r="AO14" i="38"/>
  <c r="AP14" i="38" s="1"/>
  <c r="AR14" i="38" s="1"/>
  <c r="AT13" i="38"/>
  <c r="AS13" i="38"/>
  <c r="AQ13" i="38"/>
  <c r="AO13" i="38"/>
  <c r="C6" i="50" s="1"/>
  <c r="AT12" i="38"/>
  <c r="AS12" i="38"/>
  <c r="AQ12" i="38"/>
  <c r="AO12" i="38"/>
  <c r="AP12" i="38" s="1"/>
  <c r="BG14" i="41"/>
  <c r="BG13" i="41"/>
  <c r="BG12" i="41"/>
  <c r="BG11" i="41"/>
  <c r="BG10" i="41"/>
  <c r="BG9" i="41"/>
  <c r="BG8" i="41"/>
  <c r="BG7" i="41"/>
  <c r="BG6" i="41"/>
  <c r="AT9" i="41"/>
  <c r="AS9" i="41"/>
  <c r="AQ9" i="41"/>
  <c r="AO9" i="41"/>
  <c r="AP9" i="41" s="1"/>
  <c r="AR9" i="41" s="1"/>
  <c r="AT8" i="41"/>
  <c r="AS8" i="41"/>
  <c r="AQ8" i="41"/>
  <c r="AO8" i="41"/>
  <c r="AP8" i="41" s="1"/>
  <c r="AR8" i="41" s="1"/>
  <c r="AT7" i="41"/>
  <c r="AS7" i="41"/>
  <c r="AQ7" i="41"/>
  <c r="AO7" i="41"/>
  <c r="AP7" i="41" s="1"/>
  <c r="AR7" i="41" s="1"/>
  <c r="AT6" i="41"/>
  <c r="AS6" i="41"/>
  <c r="AQ6" i="41"/>
  <c r="AO6" i="41"/>
  <c r="AP6" i="41" s="1"/>
  <c r="AS14" i="42"/>
  <c r="AS13" i="42"/>
  <c r="AS12" i="42"/>
  <c r="AS11" i="42"/>
  <c r="E15" i="50" s="1"/>
  <c r="AS10" i="42"/>
  <c r="AT14" i="42"/>
  <c r="AQ14" i="42"/>
  <c r="AP14" i="42"/>
  <c r="AR14" i="42" s="1"/>
  <c r="AO14" i="42"/>
  <c r="AT13" i="42"/>
  <c r="AQ13" i="42"/>
  <c r="AO13" i="42"/>
  <c r="AP13" i="42" s="1"/>
  <c r="AR13" i="42" s="1"/>
  <c r="AT12" i="42"/>
  <c r="AQ12" i="42"/>
  <c r="AP12" i="42"/>
  <c r="AR12" i="42" s="1"/>
  <c r="AO12" i="42"/>
  <c r="AT11" i="42"/>
  <c r="AQ11" i="42"/>
  <c r="AO11" i="42"/>
  <c r="AP11" i="42" s="1"/>
  <c r="BG8" i="72"/>
  <c r="BG7" i="72"/>
  <c r="BG6" i="72"/>
  <c r="AT8" i="72"/>
  <c r="AS8" i="72"/>
  <c r="AQ8" i="72"/>
  <c r="AR8" i="72" s="1"/>
  <c r="AP8" i="72"/>
  <c r="AO8" i="72"/>
  <c r="AT7" i="72"/>
  <c r="AS7" i="72"/>
  <c r="AQ7" i="72"/>
  <c r="AO7" i="72"/>
  <c r="AP7" i="72" s="1"/>
  <c r="AR7" i="72" s="1"/>
  <c r="AT6" i="72"/>
  <c r="AS6" i="72"/>
  <c r="E11" i="50" s="1"/>
  <c r="AQ6" i="72"/>
  <c r="AO6" i="72"/>
  <c r="C11" i="50" s="1"/>
  <c r="BG20" i="68"/>
  <c r="BG19" i="68"/>
  <c r="BG18" i="68"/>
  <c r="BG17" i="68"/>
  <c r="BG16" i="68"/>
  <c r="BG15" i="68"/>
  <c r="BG14" i="68"/>
  <c r="BG13" i="68"/>
  <c r="BG12" i="68"/>
  <c r="BG11" i="68"/>
  <c r="BG10" i="68"/>
  <c r="BG9" i="68"/>
  <c r="BG8" i="68"/>
  <c r="BG7" i="68"/>
  <c r="BG6" i="68"/>
  <c r="AT19" i="68"/>
  <c r="AS19" i="68"/>
  <c r="AQ19" i="68"/>
  <c r="AP19" i="68"/>
  <c r="AR19" i="68" s="1"/>
  <c r="AO19" i="68"/>
  <c r="AT18" i="68"/>
  <c r="AS18" i="68"/>
  <c r="AQ18" i="68"/>
  <c r="AO18" i="68"/>
  <c r="AP18" i="68" s="1"/>
  <c r="AR18" i="68" s="1"/>
  <c r="AT17" i="68"/>
  <c r="AS17" i="68"/>
  <c r="AQ17" i="68"/>
  <c r="AO17" i="68"/>
  <c r="AP17" i="68" s="1"/>
  <c r="AR17" i="68" s="1"/>
  <c r="AT16" i="68"/>
  <c r="AS16" i="68"/>
  <c r="AQ16" i="68"/>
  <c r="AO16" i="68"/>
  <c r="AP16" i="68" s="1"/>
  <c r="AR16" i="68" s="1"/>
  <c r="AT15" i="68"/>
  <c r="AS15" i="68"/>
  <c r="AQ15" i="68"/>
  <c r="AO15" i="68"/>
  <c r="AP15" i="68" s="1"/>
  <c r="AR15" i="68" s="1"/>
  <c r="AT14" i="68"/>
  <c r="AS14" i="68"/>
  <c r="AQ14" i="68"/>
  <c r="AP14" i="68"/>
  <c r="AR14" i="68" s="1"/>
  <c r="AO14" i="68"/>
  <c r="AT13" i="68"/>
  <c r="AS13" i="68"/>
  <c r="AQ13" i="68"/>
  <c r="AO13" i="68"/>
  <c r="AP13" i="68" s="1"/>
  <c r="AR13" i="68" s="1"/>
  <c r="AT12" i="68"/>
  <c r="AS12" i="68"/>
  <c r="AQ12" i="68"/>
  <c r="AO12" i="68"/>
  <c r="AP12" i="68" s="1"/>
  <c r="AR12" i="68" s="1"/>
  <c r="AT11" i="68"/>
  <c r="AS11" i="68"/>
  <c r="AQ11" i="68"/>
  <c r="AP11" i="68"/>
  <c r="AR11" i="68" s="1"/>
  <c r="AO11" i="68"/>
  <c r="AT10" i="68"/>
  <c r="AS10" i="68"/>
  <c r="AQ10" i="68"/>
  <c r="AO10" i="68"/>
  <c r="AP10" i="68" s="1"/>
  <c r="AR10" i="68" s="1"/>
  <c r="AT9" i="68"/>
  <c r="AS9" i="68"/>
  <c r="AQ9" i="68"/>
  <c r="AO9" i="68"/>
  <c r="AP9" i="68" s="1"/>
  <c r="AR9" i="68" s="1"/>
  <c r="AT8" i="68"/>
  <c r="AS8" i="68"/>
  <c r="AQ8" i="68"/>
  <c r="AO8" i="68"/>
  <c r="AP8" i="68" s="1"/>
  <c r="AR8" i="68" s="1"/>
  <c r="AT7" i="68"/>
  <c r="AS7" i="68"/>
  <c r="AQ7" i="68"/>
  <c r="AO7" i="68"/>
  <c r="AP7" i="68" s="1"/>
  <c r="AR7" i="68" s="1"/>
  <c r="AT6" i="68"/>
  <c r="AS6" i="68"/>
  <c r="E12" i="50" s="1"/>
  <c r="AQ6" i="68"/>
  <c r="AP6" i="68"/>
  <c r="AR6" i="68" s="1"/>
  <c r="AO6" i="68"/>
  <c r="BG17" i="43"/>
  <c r="BG16" i="43"/>
  <c r="BG15" i="43"/>
  <c r="BG14" i="43"/>
  <c r="BG13" i="43"/>
  <c r="AT17" i="43"/>
  <c r="AS17" i="43"/>
  <c r="AQ17" i="43"/>
  <c r="AP17" i="43"/>
  <c r="AR17" i="43" s="1"/>
  <c r="AO17" i="43"/>
  <c r="AT16" i="43"/>
  <c r="AS16" i="43"/>
  <c r="AQ16" i="43"/>
  <c r="AO16" i="43"/>
  <c r="AP16" i="43" s="1"/>
  <c r="AR16" i="43" s="1"/>
  <c r="AT15" i="43"/>
  <c r="AS15" i="43"/>
  <c r="AQ15" i="43"/>
  <c r="AO15" i="43"/>
  <c r="AP15" i="43" s="1"/>
  <c r="AR15" i="43" s="1"/>
  <c r="AT14" i="43"/>
  <c r="AS14" i="43"/>
  <c r="AQ14" i="43"/>
  <c r="AO14" i="43"/>
  <c r="AP14" i="43" s="1"/>
  <c r="AR14" i="43" s="1"/>
  <c r="AT13" i="43"/>
  <c r="F14" i="50" s="1"/>
  <c r="AS13" i="43"/>
  <c r="E14" i="50" s="1"/>
  <c r="AQ13" i="43"/>
  <c r="AO13" i="43"/>
  <c r="BG20" i="39"/>
  <c r="BG19" i="39"/>
  <c r="BG18" i="39"/>
  <c r="BG17" i="39"/>
  <c r="BG16" i="39"/>
  <c r="BG15" i="39"/>
  <c r="BG14" i="39"/>
  <c r="BG13" i="39"/>
  <c r="BG12" i="39"/>
  <c r="BG11" i="39"/>
  <c r="BG10" i="39"/>
  <c r="BG9" i="39"/>
  <c r="BG15" i="45"/>
  <c r="BG14" i="45"/>
  <c r="BG13" i="45"/>
  <c r="BG12" i="45"/>
  <c r="BG11" i="45"/>
  <c r="BG10" i="45"/>
  <c r="BG9" i="45"/>
  <c r="BG8" i="45"/>
  <c r="BG7" i="45"/>
  <c r="BG49" i="2"/>
  <c r="BG48" i="2"/>
  <c r="AT49" i="2"/>
  <c r="AS49" i="2"/>
  <c r="AQ49" i="2"/>
  <c r="AO49" i="2"/>
  <c r="AP49" i="2" s="1"/>
  <c r="AR49" i="2" s="1"/>
  <c r="AT48" i="2"/>
  <c r="AS48" i="2"/>
  <c r="AQ48" i="2"/>
  <c r="AO48" i="2"/>
  <c r="AP48" i="2" s="1"/>
  <c r="AR48" i="2" s="1"/>
  <c r="AT15" i="45"/>
  <c r="AS15" i="45"/>
  <c r="AQ15" i="45"/>
  <c r="AO15" i="45"/>
  <c r="AP15" i="45" s="1"/>
  <c r="AR15" i="45" s="1"/>
  <c r="AT14" i="45"/>
  <c r="AS14" i="45"/>
  <c r="AQ14" i="45"/>
  <c r="AO14" i="45"/>
  <c r="AP14" i="45" s="1"/>
  <c r="AR14" i="45" s="1"/>
  <c r="AT13" i="45"/>
  <c r="AS13" i="45"/>
  <c r="AQ13" i="45"/>
  <c r="AO13" i="45"/>
  <c r="AP13" i="45" s="1"/>
  <c r="AR13" i="45" s="1"/>
  <c r="AT12" i="45"/>
  <c r="AS12" i="45"/>
  <c r="AQ12" i="45"/>
  <c r="AO12" i="45"/>
  <c r="AP12" i="45" s="1"/>
  <c r="AR12" i="45" s="1"/>
  <c r="AT11" i="45"/>
  <c r="AS11" i="45"/>
  <c r="AQ11" i="45"/>
  <c r="AO11" i="45"/>
  <c r="AP11" i="45" s="1"/>
  <c r="AR11" i="45" s="1"/>
  <c r="AT10" i="45"/>
  <c r="AS10" i="45"/>
  <c r="AQ10" i="45"/>
  <c r="AO10" i="45"/>
  <c r="AP10" i="45" s="1"/>
  <c r="AR10" i="45" s="1"/>
  <c r="AT9" i="45"/>
  <c r="AS9" i="45"/>
  <c r="AQ9" i="45"/>
  <c r="AO9" i="45"/>
  <c r="AP9" i="45" s="1"/>
  <c r="AR9" i="45" s="1"/>
  <c r="AT8" i="45"/>
  <c r="AS8" i="45"/>
  <c r="AQ8" i="45"/>
  <c r="AP8" i="45"/>
  <c r="AR8" i="45" s="1"/>
  <c r="AO8" i="45"/>
  <c r="AT7" i="45"/>
  <c r="AS7" i="45"/>
  <c r="AQ7" i="45"/>
  <c r="AO7" i="45"/>
  <c r="AP7" i="45" s="1"/>
  <c r="AR7" i="45" s="1"/>
  <c r="AT20" i="39"/>
  <c r="AS20" i="39"/>
  <c r="AQ20" i="39"/>
  <c r="AP20" i="39"/>
  <c r="AR20" i="39" s="1"/>
  <c r="AO20" i="39"/>
  <c r="AT19" i="39"/>
  <c r="AS19" i="39"/>
  <c r="AQ19" i="39"/>
  <c r="AO19" i="39"/>
  <c r="AP19" i="39" s="1"/>
  <c r="AR19" i="39" s="1"/>
  <c r="AT18" i="39"/>
  <c r="AS18" i="39"/>
  <c r="AQ18" i="39"/>
  <c r="AO18" i="39"/>
  <c r="AP18" i="39" s="1"/>
  <c r="AR18" i="39" s="1"/>
  <c r="AT17" i="39"/>
  <c r="AS17" i="39"/>
  <c r="AQ17" i="39"/>
  <c r="AO17" i="39"/>
  <c r="AP17" i="39" s="1"/>
  <c r="AR17" i="39" s="1"/>
  <c r="AT16" i="39"/>
  <c r="AS16" i="39"/>
  <c r="AQ16" i="39"/>
  <c r="AR16" i="39" s="1"/>
  <c r="AP16" i="39"/>
  <c r="AO16" i="39"/>
  <c r="AT15" i="39"/>
  <c r="AS15" i="39"/>
  <c r="AQ15" i="39"/>
  <c r="AO15" i="39"/>
  <c r="AP15" i="39" s="1"/>
  <c r="AR15" i="39" s="1"/>
  <c r="AT14" i="39"/>
  <c r="AS14" i="39"/>
  <c r="AQ14" i="39"/>
  <c r="AP14" i="39"/>
  <c r="AR14" i="39" s="1"/>
  <c r="AO14" i="39"/>
  <c r="AT13" i="39"/>
  <c r="AS13" i="39"/>
  <c r="AQ13" i="39"/>
  <c r="AP13" i="39"/>
  <c r="AR13" i="39" s="1"/>
  <c r="AO13" i="39"/>
  <c r="AT12" i="39"/>
  <c r="AS12" i="39"/>
  <c r="AQ12" i="39"/>
  <c r="AP12" i="39"/>
  <c r="AR12" i="39" s="1"/>
  <c r="AO12" i="39"/>
  <c r="AT11" i="39"/>
  <c r="AS11" i="39"/>
  <c r="AQ11" i="39"/>
  <c r="AO11" i="39"/>
  <c r="AP11" i="39" s="1"/>
  <c r="AR11" i="39" s="1"/>
  <c r="AT10" i="39"/>
  <c r="AS10" i="39"/>
  <c r="AQ10" i="39"/>
  <c r="AO10" i="39"/>
  <c r="AP10" i="39" s="1"/>
  <c r="AR10" i="39" s="1"/>
  <c r="AT9" i="39"/>
  <c r="AS9" i="39"/>
  <c r="AQ9" i="39"/>
  <c r="AO9" i="39"/>
  <c r="AP9" i="39" s="1"/>
  <c r="B34" i="50"/>
  <c r="Y22" i="34"/>
  <c r="AD22" i="34"/>
  <c r="AC22" i="34"/>
  <c r="AB22" i="34"/>
  <c r="AA22" i="34"/>
  <c r="Z22" i="34"/>
  <c r="AF22" i="34"/>
  <c r="AE22" i="34"/>
  <c r="B7" i="50"/>
  <c r="F9" i="50"/>
  <c r="B9" i="50"/>
  <c r="B8" i="50"/>
  <c r="B6" i="50"/>
  <c r="E13" i="50"/>
  <c r="C13" i="50"/>
  <c r="B15" i="50"/>
  <c r="C12" i="50"/>
  <c r="B14" i="50"/>
  <c r="B18" i="50"/>
  <c r="B16" i="50"/>
  <c r="B5" i="50"/>
  <c r="AT50" i="55"/>
  <c r="AS50" i="55"/>
  <c r="AP50" i="55"/>
  <c r="AO50" i="55"/>
  <c r="AM50" i="55"/>
  <c r="E9" i="50"/>
  <c r="E8" i="50"/>
  <c r="C8" i="50"/>
  <c r="F12" i="50"/>
  <c r="D12" i="50"/>
  <c r="F16" i="50"/>
  <c r="AM50" i="39"/>
  <c r="DR4" i="74"/>
  <c r="DD9" i="75"/>
  <c r="BG8" i="75"/>
  <c r="AJ8" i="75"/>
  <c r="AI8" i="75"/>
  <c r="DD8" i="75" s="1"/>
  <c r="DD7" i="75"/>
  <c r="BG7" i="75"/>
  <c r="AJ7" i="75"/>
  <c r="AI7" i="75"/>
  <c r="BG6" i="75"/>
  <c r="AJ6" i="75"/>
  <c r="AI6" i="75"/>
  <c r="BG5" i="75"/>
  <c r="AJ5" i="75"/>
  <c r="AI5" i="75"/>
  <c r="DD5" i="75" s="1"/>
  <c r="DD20" i="75"/>
  <c r="DD18" i="75"/>
  <c r="DD17" i="75"/>
  <c r="DD16" i="75"/>
  <c r="DD14" i="75"/>
  <c r="CF14" i="75"/>
  <c r="CE14" i="75"/>
  <c r="CD14" i="75"/>
  <c r="CG14" i="75" s="1"/>
  <c r="CB14" i="75"/>
  <c r="CA14" i="75"/>
  <c r="BZ14" i="75"/>
  <c r="BY14" i="75"/>
  <c r="CF13" i="75"/>
  <c r="CE13" i="75"/>
  <c r="CD13" i="75"/>
  <c r="CG13" i="75" s="1"/>
  <c r="CB13" i="75"/>
  <c r="CA13" i="75"/>
  <c r="BZ13" i="75"/>
  <c r="BY13" i="75"/>
  <c r="CF12" i="75"/>
  <c r="CE12" i="75"/>
  <c r="CD12" i="75"/>
  <c r="CG12" i="75" s="1"/>
  <c r="CB12" i="75"/>
  <c r="CA12" i="75"/>
  <c r="BZ12" i="75"/>
  <c r="BY12" i="75"/>
  <c r="CO4" i="75" s="1"/>
  <c r="CZ4" i="75" s="1"/>
  <c r="DL4" i="75" s="1"/>
  <c r="DV4" i="75" s="1"/>
  <c r="EG4" i="75" s="1"/>
  <c r="ER4" i="75" s="1"/>
  <c r="DD11" i="75"/>
  <c r="CJ10" i="75"/>
  <c r="CU10" i="75" s="1"/>
  <c r="DD10" i="75"/>
  <c r="CF8" i="75"/>
  <c r="CE8" i="75"/>
  <c r="CD8" i="75"/>
  <c r="CG8" i="75" s="1"/>
  <c r="CB8" i="75"/>
  <c r="CA8" i="75"/>
  <c r="BZ8" i="75"/>
  <c r="BY8" i="75"/>
  <c r="CK4" i="75" s="1"/>
  <c r="CV4" i="75" s="1"/>
  <c r="DH4" i="75" s="1"/>
  <c r="DR4" i="75" s="1"/>
  <c r="EC4" i="75" s="1"/>
  <c r="CF7" i="75"/>
  <c r="CE7" i="75"/>
  <c r="CD7" i="75"/>
  <c r="CG7" i="75" s="1"/>
  <c r="CB7" i="75"/>
  <c r="CA7" i="75"/>
  <c r="BZ7" i="75"/>
  <c r="BY7" i="75"/>
  <c r="CJ4" i="75" s="1"/>
  <c r="CU4" i="75" s="1"/>
  <c r="DG4" i="75" s="1"/>
  <c r="DQ4" i="75" s="1"/>
  <c r="EB4" i="75" s="1"/>
  <c r="EM4" i="75" s="1"/>
  <c r="CF6" i="75"/>
  <c r="CE6" i="75"/>
  <c r="CD6" i="75"/>
  <c r="CG6" i="75" s="1"/>
  <c r="CB6" i="75"/>
  <c r="CA6" i="75"/>
  <c r="BZ6" i="75"/>
  <c r="BY6" i="75"/>
  <c r="CI4" i="75" s="1"/>
  <c r="CT4" i="75" s="1"/>
  <c r="DF4" i="75" s="1"/>
  <c r="DP4" i="75" s="1"/>
  <c r="EA4" i="75" s="1"/>
  <c r="EL4" i="75" s="1"/>
  <c r="CF5" i="75"/>
  <c r="CE5" i="75"/>
  <c r="CD5" i="75"/>
  <c r="CG5" i="75" s="1"/>
  <c r="CB5" i="75"/>
  <c r="CA5" i="75"/>
  <c r="BZ5" i="75"/>
  <c r="BY5" i="75"/>
  <c r="EN4" i="75"/>
  <c r="DN4" i="75"/>
  <c r="DX4" i="75" s="1"/>
  <c r="EI4" i="75" s="1"/>
  <c r="ET4" i="75" s="1"/>
  <c r="DK4" i="75"/>
  <c r="DU4" i="75" s="1"/>
  <c r="EF4" i="75" s="1"/>
  <c r="EQ4" i="75" s="1"/>
  <c r="DJ4" i="75"/>
  <c r="DT4" i="75" s="1"/>
  <c r="EE4" i="75" s="1"/>
  <c r="EP4" i="75" s="1"/>
  <c r="DA4" i="75"/>
  <c r="DM4" i="75" s="1"/>
  <c r="DW4" i="75" s="1"/>
  <c r="EH4" i="75" s="1"/>
  <c r="ES4" i="75" s="1"/>
  <c r="CW4" i="75"/>
  <c r="DI4" i="75" s="1"/>
  <c r="DS4" i="75" s="1"/>
  <c r="ED4" i="75" s="1"/>
  <c r="EO4" i="75" s="1"/>
  <c r="CQ4" i="75"/>
  <c r="DB4" i="75" s="1"/>
  <c r="CP4" i="75"/>
  <c r="CN4" i="75"/>
  <c r="CY4" i="75" s="1"/>
  <c r="CM4" i="75"/>
  <c r="CX4" i="75" s="1"/>
  <c r="CL4" i="75"/>
  <c r="CH4" i="75"/>
  <c r="CS4" i="75" s="1"/>
  <c r="DE4" i="75" s="1"/>
  <c r="DO4" i="75" s="1"/>
  <c r="DZ4" i="75" s="1"/>
  <c r="EK4" i="75" s="1"/>
  <c r="CC4" i="75"/>
  <c r="CB4" i="75"/>
  <c r="CA4" i="75"/>
  <c r="BZ4" i="75"/>
  <c r="CN9" i="75" s="1"/>
  <c r="CY9" i="75" s="1"/>
  <c r="AI5" i="74"/>
  <c r="AJ5" i="74"/>
  <c r="BG5" i="74"/>
  <c r="AI6" i="74"/>
  <c r="AJ6" i="74"/>
  <c r="BG6" i="74"/>
  <c r="AI12" i="74"/>
  <c r="DD12" i="74" s="1"/>
  <c r="AJ12" i="74"/>
  <c r="BG12" i="74"/>
  <c r="AI13" i="74"/>
  <c r="DD13" i="74" s="1"/>
  <c r="AJ13" i="74"/>
  <c r="BG13" i="74"/>
  <c r="AI14" i="74"/>
  <c r="AJ14" i="74"/>
  <c r="BG14" i="74"/>
  <c r="AI10" i="74"/>
  <c r="AJ10" i="74"/>
  <c r="BG10" i="74"/>
  <c r="AI11" i="74"/>
  <c r="AJ11" i="74"/>
  <c r="BG11" i="74"/>
  <c r="AE15" i="74"/>
  <c r="AI15" i="74"/>
  <c r="AJ15" i="74"/>
  <c r="BG15" i="74"/>
  <c r="AI16" i="74"/>
  <c r="AJ16" i="74"/>
  <c r="BG16" i="74"/>
  <c r="AI17" i="74"/>
  <c r="AJ17" i="74"/>
  <c r="BG17" i="74"/>
  <c r="AI18" i="74"/>
  <c r="AJ18" i="74"/>
  <c r="BG18" i="74"/>
  <c r="AI19" i="74"/>
  <c r="DD19" i="74" s="1"/>
  <c r="AJ19" i="74"/>
  <c r="BG19" i="74"/>
  <c r="AI7" i="74"/>
  <c r="AJ7" i="74"/>
  <c r="BG7" i="74"/>
  <c r="AE8" i="74"/>
  <c r="AJ8" i="74"/>
  <c r="BG8" i="74"/>
  <c r="DD8" i="74"/>
  <c r="DD6" i="73"/>
  <c r="BG21" i="74"/>
  <c r="AJ21" i="74"/>
  <c r="AI21" i="74"/>
  <c r="DD21" i="74" s="1"/>
  <c r="BG20" i="74"/>
  <c r="AJ20" i="74"/>
  <c r="AI20" i="74"/>
  <c r="DD20" i="74" s="1"/>
  <c r="BG9" i="74"/>
  <c r="AJ9" i="74"/>
  <c r="AI9" i="74"/>
  <c r="DD9" i="74" s="1"/>
  <c r="AE9" i="74"/>
  <c r="CF14" i="74"/>
  <c r="CE14" i="74"/>
  <c r="CD14" i="74"/>
  <c r="CG14" i="74" s="1"/>
  <c r="CB14" i="74"/>
  <c r="CA14" i="74"/>
  <c r="BZ14" i="74"/>
  <c r="BY14" i="74"/>
  <c r="CQ4" i="74" s="1"/>
  <c r="DB4" i="74" s="1"/>
  <c r="DN4" i="74" s="1"/>
  <c r="DX4" i="74" s="1"/>
  <c r="EI4" i="74" s="1"/>
  <c r="ET4" i="74" s="1"/>
  <c r="CF13" i="74"/>
  <c r="CE13" i="74"/>
  <c r="CD13" i="74"/>
  <c r="CG13" i="74" s="1"/>
  <c r="CB13" i="74"/>
  <c r="CA13" i="74"/>
  <c r="BZ13" i="74"/>
  <c r="BY13" i="74"/>
  <c r="CP4" i="74" s="1"/>
  <c r="DA4" i="74" s="1"/>
  <c r="DM4" i="74" s="1"/>
  <c r="DW4" i="74" s="1"/>
  <c r="EH4" i="74" s="1"/>
  <c r="ES4" i="74" s="1"/>
  <c r="CF12" i="74"/>
  <c r="CE12" i="74"/>
  <c r="CD12" i="74"/>
  <c r="CG12" i="74" s="1"/>
  <c r="CB12" i="74"/>
  <c r="CA12" i="74"/>
  <c r="BZ12" i="74"/>
  <c r="BY12" i="74"/>
  <c r="CO4" i="74" s="1"/>
  <c r="CZ4" i="74" s="1"/>
  <c r="DL4" i="74" s="1"/>
  <c r="DV4" i="74" s="1"/>
  <c r="EG4" i="74" s="1"/>
  <c r="ER4" i="74" s="1"/>
  <c r="CF8" i="74"/>
  <c r="CE8" i="74"/>
  <c r="CD8" i="74"/>
  <c r="CG8" i="74" s="1"/>
  <c r="CB8" i="74"/>
  <c r="CA8" i="74"/>
  <c r="BZ8" i="74"/>
  <c r="BY8" i="74"/>
  <c r="CK4" i="74" s="1"/>
  <c r="CV4" i="74" s="1"/>
  <c r="DH4" i="74" s="1"/>
  <c r="EC4" i="74" s="1"/>
  <c r="EN4" i="74" s="1"/>
  <c r="CF7" i="74"/>
  <c r="CE7" i="74"/>
  <c r="CD7" i="74"/>
  <c r="CG7" i="74" s="1"/>
  <c r="CB7" i="74"/>
  <c r="CA7" i="74"/>
  <c r="BZ7" i="74"/>
  <c r="BY7" i="74"/>
  <c r="CJ4" i="74" s="1"/>
  <c r="CU4" i="74" s="1"/>
  <c r="DG4" i="74" s="1"/>
  <c r="DQ4" i="74" s="1"/>
  <c r="EB4" i="74" s="1"/>
  <c r="EM4" i="74" s="1"/>
  <c r="CF6" i="74"/>
  <c r="CE6" i="74"/>
  <c r="CD6" i="74"/>
  <c r="CG6" i="74" s="1"/>
  <c r="CB6" i="74"/>
  <c r="CA6" i="74"/>
  <c r="BZ6" i="74"/>
  <c r="BY6" i="74"/>
  <c r="CI4" i="74" s="1"/>
  <c r="CT4" i="74" s="1"/>
  <c r="DF4" i="74" s="1"/>
  <c r="DP4" i="74" s="1"/>
  <c r="EA4" i="74" s="1"/>
  <c r="EL4" i="74" s="1"/>
  <c r="CF5" i="74"/>
  <c r="CE5" i="74"/>
  <c r="CD5" i="74"/>
  <c r="CG5" i="74" s="1"/>
  <c r="CB5" i="74"/>
  <c r="CA5" i="74"/>
  <c r="BZ5" i="74"/>
  <c r="BY5" i="74"/>
  <c r="CH4" i="74" s="1"/>
  <c r="CS4" i="74" s="1"/>
  <c r="DE4" i="74" s="1"/>
  <c r="DO4" i="74" s="1"/>
  <c r="DZ4" i="74" s="1"/>
  <c r="EK4" i="74" s="1"/>
  <c r="CN4" i="74"/>
  <c r="CY4" i="74" s="1"/>
  <c r="DK4" i="74" s="1"/>
  <c r="DU4" i="74" s="1"/>
  <c r="EF4" i="74" s="1"/>
  <c r="EQ4" i="74" s="1"/>
  <c r="CM4" i="74"/>
  <c r="CX4" i="74" s="1"/>
  <c r="DJ4" i="74" s="1"/>
  <c r="DT4" i="74" s="1"/>
  <c r="EE4" i="74" s="1"/>
  <c r="EP4" i="74" s="1"/>
  <c r="CL4" i="74"/>
  <c r="CW4" i="74" s="1"/>
  <c r="DI4" i="74" s="1"/>
  <c r="DS4" i="74" s="1"/>
  <c r="ED4" i="74" s="1"/>
  <c r="EO4" i="74" s="1"/>
  <c r="CC4" i="74"/>
  <c r="CB4" i="74"/>
  <c r="CF4" i="74" s="1"/>
  <c r="CA4" i="74"/>
  <c r="BZ4" i="74"/>
  <c r="DD34" i="38"/>
  <c r="DD33" i="38"/>
  <c r="DD32" i="38"/>
  <c r="DD31" i="38"/>
  <c r="DD30" i="38"/>
  <c r="DD29" i="38"/>
  <c r="BG11" i="38"/>
  <c r="AJ11" i="38"/>
  <c r="AI11" i="38"/>
  <c r="AE11" i="38"/>
  <c r="DD27" i="38"/>
  <c r="DD26" i="38"/>
  <c r="DD25" i="38"/>
  <c r="DD24" i="38"/>
  <c r="DD19" i="38"/>
  <c r="DD18" i="38"/>
  <c r="DD16" i="38"/>
  <c r="DD14" i="38"/>
  <c r="CG14" i="38"/>
  <c r="CF14" i="38"/>
  <c r="CE14" i="38"/>
  <c r="CD14" i="38"/>
  <c r="CB14" i="38"/>
  <c r="CA14" i="38"/>
  <c r="BZ14" i="38"/>
  <c r="BY14" i="38"/>
  <c r="CF13" i="38"/>
  <c r="CE13" i="38"/>
  <c r="CD13" i="38"/>
  <c r="CG13" i="38" s="1"/>
  <c r="CB13" i="38"/>
  <c r="CA13" i="38"/>
  <c r="BZ13" i="38"/>
  <c r="BY13" i="38"/>
  <c r="CF12" i="38"/>
  <c r="CE12" i="38"/>
  <c r="CD12" i="38"/>
  <c r="CG12" i="38" s="1"/>
  <c r="CB12" i="38"/>
  <c r="CA12" i="38"/>
  <c r="BZ12" i="38"/>
  <c r="BY12" i="38"/>
  <c r="BG10" i="38"/>
  <c r="AJ10" i="38"/>
  <c r="AI10" i="38"/>
  <c r="DD10" i="38" s="1"/>
  <c r="CF8" i="38"/>
  <c r="CE8" i="38"/>
  <c r="CD8" i="38"/>
  <c r="CG8" i="38" s="1"/>
  <c r="CB8" i="38"/>
  <c r="CA8" i="38"/>
  <c r="BZ8" i="38"/>
  <c r="BY8" i="38"/>
  <c r="CK4" i="38" s="1"/>
  <c r="CV4" i="38" s="1"/>
  <c r="DH4" i="38" s="1"/>
  <c r="DR4" i="38" s="1"/>
  <c r="EC4" i="38" s="1"/>
  <c r="EN4" i="38" s="1"/>
  <c r="BG6" i="38"/>
  <c r="AJ6" i="38"/>
  <c r="AI6" i="38"/>
  <c r="DD6" i="38" s="1"/>
  <c r="EV5" i="38"/>
  <c r="EY5" i="38" s="1"/>
  <c r="CF7" i="38"/>
  <c r="CE7" i="38"/>
  <c r="CD7" i="38"/>
  <c r="CG7" i="38" s="1"/>
  <c r="CB7" i="38"/>
  <c r="CA7" i="38"/>
  <c r="BZ7" i="38"/>
  <c r="BY7" i="38"/>
  <c r="CJ4" i="38" s="1"/>
  <c r="CU4" i="38" s="1"/>
  <c r="DG4" i="38" s="1"/>
  <c r="DQ4" i="38" s="1"/>
  <c r="EB4" i="38" s="1"/>
  <c r="EM4" i="38" s="1"/>
  <c r="BG5" i="38"/>
  <c r="AJ5" i="38"/>
  <c r="AI5" i="38"/>
  <c r="CF6" i="38"/>
  <c r="CE6" i="38"/>
  <c r="CD6" i="38"/>
  <c r="CG6" i="38" s="1"/>
  <c r="CB6" i="38"/>
  <c r="CA6" i="38"/>
  <c r="BZ6" i="38"/>
  <c r="BY6" i="38"/>
  <c r="CI4" i="38" s="1"/>
  <c r="CT4" i="38" s="1"/>
  <c r="CF5" i="38"/>
  <c r="CE5" i="38"/>
  <c r="CD5" i="38"/>
  <c r="CG5" i="38" s="1"/>
  <c r="CB5" i="38"/>
  <c r="CA5" i="38"/>
  <c r="BZ5" i="38"/>
  <c r="BY5" i="38"/>
  <c r="CH4" i="38" s="1"/>
  <c r="CS4" i="38" s="1"/>
  <c r="DE4" i="38" s="1"/>
  <c r="DO4" i="38" s="1"/>
  <c r="DZ4" i="38" s="1"/>
  <c r="EK4" i="38" s="1"/>
  <c r="DF4" i="38"/>
  <c r="DP4" i="38" s="1"/>
  <c r="EA4" i="38" s="1"/>
  <c r="EL4" i="38" s="1"/>
  <c r="CQ4" i="38"/>
  <c r="DB4" i="38" s="1"/>
  <c r="DN4" i="38" s="1"/>
  <c r="DX4" i="38" s="1"/>
  <c r="EI4" i="38" s="1"/>
  <c r="ET4" i="38" s="1"/>
  <c r="CP4" i="38"/>
  <c r="DA4" i="38" s="1"/>
  <c r="DM4" i="38" s="1"/>
  <c r="DW4" i="38" s="1"/>
  <c r="EH4" i="38" s="1"/>
  <c r="ES4" i="38" s="1"/>
  <c r="CO4" i="38"/>
  <c r="CZ4" i="38" s="1"/>
  <c r="DL4" i="38" s="1"/>
  <c r="DV4" i="38" s="1"/>
  <c r="EG4" i="38" s="1"/>
  <c r="ER4" i="38" s="1"/>
  <c r="CN4" i="38"/>
  <c r="CY4" i="38" s="1"/>
  <c r="DK4" i="38" s="1"/>
  <c r="DU4" i="38" s="1"/>
  <c r="EF4" i="38" s="1"/>
  <c r="EQ4" i="38" s="1"/>
  <c r="CM4" i="38"/>
  <c r="CX4" i="38" s="1"/>
  <c r="DJ4" i="38" s="1"/>
  <c r="DT4" i="38" s="1"/>
  <c r="EE4" i="38" s="1"/>
  <c r="EP4" i="38" s="1"/>
  <c r="CL4" i="38"/>
  <c r="CW4" i="38" s="1"/>
  <c r="DI4" i="38" s="1"/>
  <c r="DS4" i="38" s="1"/>
  <c r="ED4" i="38" s="1"/>
  <c r="EO4" i="38" s="1"/>
  <c r="CC4" i="38"/>
  <c r="CB4" i="38"/>
  <c r="CF4" i="38" s="1"/>
  <c r="CA4" i="38"/>
  <c r="BZ4" i="38"/>
  <c r="DD32" i="73"/>
  <c r="DD31" i="73"/>
  <c r="DD28" i="73"/>
  <c r="DD27" i="73"/>
  <c r="DD26" i="73"/>
  <c r="DD25" i="73"/>
  <c r="DD24" i="73"/>
  <c r="DD23" i="73"/>
  <c r="DD20" i="73"/>
  <c r="DD19" i="73"/>
  <c r="DD18" i="73"/>
  <c r="DD17" i="73"/>
  <c r="DD16" i="73"/>
  <c r="DD15" i="73"/>
  <c r="DD14" i="73"/>
  <c r="CF14" i="73"/>
  <c r="CE14" i="73"/>
  <c r="CD14" i="73"/>
  <c r="CG14" i="73" s="1"/>
  <c r="CB14" i="73"/>
  <c r="CA14" i="73"/>
  <c r="BZ14" i="73"/>
  <c r="BY14" i="73"/>
  <c r="DD13" i="73"/>
  <c r="CF13" i="73"/>
  <c r="CE13" i="73"/>
  <c r="CD13" i="73"/>
  <c r="CG13" i="73" s="1"/>
  <c r="CB13" i="73"/>
  <c r="CA13" i="73"/>
  <c r="BZ13" i="73"/>
  <c r="BY13" i="73"/>
  <c r="CG12" i="73"/>
  <c r="CF12" i="73"/>
  <c r="CE12" i="73"/>
  <c r="CD12" i="73"/>
  <c r="CB12" i="73"/>
  <c r="CA12" i="73"/>
  <c r="BZ12" i="73"/>
  <c r="BY12" i="73"/>
  <c r="CG8" i="73"/>
  <c r="CF8" i="73"/>
  <c r="CE8" i="73"/>
  <c r="CD8" i="73"/>
  <c r="CB8" i="73"/>
  <c r="CA8" i="73"/>
  <c r="BZ8" i="73"/>
  <c r="BY8" i="73"/>
  <c r="CK4" i="73" s="1"/>
  <c r="CG7" i="73"/>
  <c r="CF7" i="73"/>
  <c r="CE7" i="73"/>
  <c r="CD7" i="73"/>
  <c r="CB7" i="73"/>
  <c r="CA7" i="73"/>
  <c r="BZ7" i="73"/>
  <c r="BY7" i="73"/>
  <c r="CG6" i="73"/>
  <c r="CF6" i="73"/>
  <c r="CE6" i="73"/>
  <c r="CD6" i="73"/>
  <c r="CB6" i="73"/>
  <c r="CA6" i="73"/>
  <c r="BZ6" i="73"/>
  <c r="BY6" i="73"/>
  <c r="CI4" i="73" s="1"/>
  <c r="CT4" i="73" s="1"/>
  <c r="DF4" i="73" s="1"/>
  <c r="DP4" i="73" s="1"/>
  <c r="EA4" i="73" s="1"/>
  <c r="EL4" i="73" s="1"/>
  <c r="BG5" i="73"/>
  <c r="AJ5" i="73"/>
  <c r="AI5" i="73"/>
  <c r="DD5" i="73" s="1"/>
  <c r="CG5" i="73"/>
  <c r="CF5" i="73"/>
  <c r="CE5" i="73"/>
  <c r="CD5" i="73"/>
  <c r="CB5" i="73"/>
  <c r="CA5" i="73"/>
  <c r="BZ5" i="73"/>
  <c r="BY5" i="73"/>
  <c r="CH4" i="73" s="1"/>
  <c r="EQ4" i="73"/>
  <c r="DR4" i="73"/>
  <c r="EC4" i="73" s="1"/>
  <c r="EN4" i="73" s="1"/>
  <c r="DO4" i="73"/>
  <c r="DZ4" i="73" s="1"/>
  <c r="EK4" i="73" s="1"/>
  <c r="DH4" i="73"/>
  <c r="CV4" i="73"/>
  <c r="CS4" i="73"/>
  <c r="DE4" i="73" s="1"/>
  <c r="CQ4" i="73"/>
  <c r="DB4" i="73" s="1"/>
  <c r="DN4" i="73" s="1"/>
  <c r="DX4" i="73" s="1"/>
  <c r="EI4" i="73" s="1"/>
  <c r="ET4" i="73" s="1"/>
  <c r="CP4" i="73"/>
  <c r="DA4" i="73" s="1"/>
  <c r="DM4" i="73" s="1"/>
  <c r="DW4" i="73" s="1"/>
  <c r="EH4" i="73" s="1"/>
  <c r="ES4" i="73" s="1"/>
  <c r="CO4" i="73"/>
  <c r="CZ4" i="73" s="1"/>
  <c r="DL4" i="73" s="1"/>
  <c r="DV4" i="73" s="1"/>
  <c r="EG4" i="73" s="1"/>
  <c r="ER4" i="73" s="1"/>
  <c r="CN4" i="73"/>
  <c r="CY4" i="73" s="1"/>
  <c r="DK4" i="73" s="1"/>
  <c r="DU4" i="73" s="1"/>
  <c r="EF4" i="73" s="1"/>
  <c r="CM4" i="73"/>
  <c r="CX4" i="73" s="1"/>
  <c r="DJ4" i="73" s="1"/>
  <c r="DT4" i="73" s="1"/>
  <c r="EE4" i="73" s="1"/>
  <c r="EP4" i="73" s="1"/>
  <c r="CL4" i="73"/>
  <c r="CW4" i="73" s="1"/>
  <c r="DI4" i="73" s="1"/>
  <c r="DS4" i="73" s="1"/>
  <c r="ED4" i="73" s="1"/>
  <c r="EO4" i="73" s="1"/>
  <c r="CJ4" i="73"/>
  <c r="CU4" i="73" s="1"/>
  <c r="DG4" i="73" s="1"/>
  <c r="DQ4" i="73" s="1"/>
  <c r="EB4" i="73" s="1"/>
  <c r="EM4" i="73" s="1"/>
  <c r="CC4" i="73"/>
  <c r="CB4" i="73"/>
  <c r="CF4" i="73" s="1"/>
  <c r="CA4" i="73"/>
  <c r="CI29" i="73" s="1"/>
  <c r="BZ4" i="73"/>
  <c r="CQ6" i="73" s="1"/>
  <c r="DB6" i="73" s="1"/>
  <c r="BY6" i="72"/>
  <c r="CI4" i="72" s="1"/>
  <c r="CT4" i="72" s="1"/>
  <c r="DF4" i="72" s="1"/>
  <c r="DP4" i="72" s="1"/>
  <c r="EA4" i="72" s="1"/>
  <c r="EL4" i="72" s="1"/>
  <c r="BZ6" i="72"/>
  <c r="CA6" i="72"/>
  <c r="CB6" i="72"/>
  <c r="CD6" i="72"/>
  <c r="CE6" i="72"/>
  <c r="CF6" i="72"/>
  <c r="DD6" i="72"/>
  <c r="BY7" i="72"/>
  <c r="BZ7" i="72"/>
  <c r="CA7" i="72"/>
  <c r="CB7" i="72"/>
  <c r="CD7" i="72"/>
  <c r="CE7" i="72"/>
  <c r="CF7" i="72"/>
  <c r="CG7" i="72"/>
  <c r="CM7" i="72"/>
  <c r="CX7" i="72" s="1"/>
  <c r="DD7" i="72"/>
  <c r="EV7" i="72"/>
  <c r="EY7" i="72"/>
  <c r="BY8" i="72"/>
  <c r="BZ8" i="72"/>
  <c r="CA8" i="72"/>
  <c r="CB8" i="72"/>
  <c r="CD8" i="72"/>
  <c r="CE8" i="72"/>
  <c r="CF8" i="72"/>
  <c r="CP8" i="72"/>
  <c r="CQ8" i="72"/>
  <c r="BY12" i="72"/>
  <c r="CO4" i="72" s="1"/>
  <c r="CZ4" i="72" s="1"/>
  <c r="DL4" i="72" s="1"/>
  <c r="DV4" i="72" s="1"/>
  <c r="EG4" i="72" s="1"/>
  <c r="ER4" i="72" s="1"/>
  <c r="BZ12" i="72"/>
  <c r="CA12" i="72"/>
  <c r="CB12" i="72"/>
  <c r="CD12" i="72"/>
  <c r="CE12" i="72"/>
  <c r="CF12" i="72"/>
  <c r="CG12" i="72"/>
  <c r="DD12" i="72"/>
  <c r="BY13" i="72"/>
  <c r="BZ13" i="72"/>
  <c r="CA13" i="72"/>
  <c r="CB13" i="72"/>
  <c r="CD13" i="72"/>
  <c r="CE13" i="72"/>
  <c r="CF13" i="72"/>
  <c r="CG13" i="72"/>
  <c r="CI13" i="72"/>
  <c r="CT13" i="72" s="1"/>
  <c r="DD13" i="72"/>
  <c r="BY14" i="72"/>
  <c r="CQ4" i="72" s="1"/>
  <c r="DB4" i="72" s="1"/>
  <c r="DN4" i="72" s="1"/>
  <c r="DX4" i="72" s="1"/>
  <c r="EI4" i="72" s="1"/>
  <c r="ET4" i="72" s="1"/>
  <c r="BZ14" i="72"/>
  <c r="CA14" i="72"/>
  <c r="CB14" i="72"/>
  <c r="CD14" i="72"/>
  <c r="CG14" i="72" s="1"/>
  <c r="CE14" i="72"/>
  <c r="CF14" i="72"/>
  <c r="CM15" i="72"/>
  <c r="CN15" i="72"/>
  <c r="DD15" i="72"/>
  <c r="CO16" i="72"/>
  <c r="DD17" i="72"/>
  <c r="CP18" i="72"/>
  <c r="DA18" i="72" s="1"/>
  <c r="CQ18" i="72"/>
  <c r="DB18" i="72" s="1"/>
  <c r="DD18" i="72"/>
  <c r="CL19" i="72"/>
  <c r="CW19" i="72" s="1"/>
  <c r="CH20" i="72"/>
  <c r="CI20" i="72"/>
  <c r="DD20" i="72"/>
  <c r="CM21" i="72"/>
  <c r="DD21" i="72"/>
  <c r="CK23" i="72"/>
  <c r="CV23" i="72" s="1"/>
  <c r="CP23" i="72"/>
  <c r="DA23" i="72" s="1"/>
  <c r="DD23" i="72"/>
  <c r="CI24" i="72"/>
  <c r="CQ25" i="72"/>
  <c r="CH26" i="72"/>
  <c r="CS26" i="72" s="1"/>
  <c r="DD26" i="72"/>
  <c r="DD27" i="72"/>
  <c r="DD28" i="72"/>
  <c r="CP29" i="72"/>
  <c r="DA29" i="72" s="1"/>
  <c r="CP30" i="72"/>
  <c r="DD30" i="72"/>
  <c r="CL31" i="72"/>
  <c r="CM31" i="72"/>
  <c r="CN31" i="72"/>
  <c r="CO31" i="72"/>
  <c r="CK32" i="72"/>
  <c r="DD32" i="72"/>
  <c r="CL33" i="72"/>
  <c r="CW33" i="72" s="1"/>
  <c r="CP33" i="72"/>
  <c r="DA33" i="72" s="1"/>
  <c r="DD33" i="72"/>
  <c r="DD34" i="72"/>
  <c r="CP4" i="72"/>
  <c r="DA4" i="72" s="1"/>
  <c r="DM4" i="72" s="1"/>
  <c r="DW4" i="72" s="1"/>
  <c r="EH4" i="72" s="1"/>
  <c r="ES4" i="72" s="1"/>
  <c r="EV5" i="72"/>
  <c r="EY5" i="72" s="1"/>
  <c r="DD5" i="72"/>
  <c r="CJ5" i="72"/>
  <c r="CU5" i="72" s="1"/>
  <c r="CG5" i="72"/>
  <c r="CF5" i="72"/>
  <c r="CE5" i="72"/>
  <c r="CD5" i="72"/>
  <c r="CB5" i="72"/>
  <c r="CA5" i="72"/>
  <c r="BZ5" i="72"/>
  <c r="BY5" i="72"/>
  <c r="BG5" i="72"/>
  <c r="AJ5" i="72"/>
  <c r="AI5" i="72"/>
  <c r="AF5" i="72"/>
  <c r="CS4" i="72"/>
  <c r="DE4" i="72" s="1"/>
  <c r="DO4" i="72" s="1"/>
  <c r="DZ4" i="72" s="1"/>
  <c r="EK4" i="72" s="1"/>
  <c r="CN4" i="72"/>
  <c r="CY4" i="72" s="1"/>
  <c r="DK4" i="72" s="1"/>
  <c r="DU4" i="72" s="1"/>
  <c r="EF4" i="72" s="1"/>
  <c r="EQ4" i="72" s="1"/>
  <c r="CM4" i="72"/>
  <c r="CX4" i="72" s="1"/>
  <c r="DJ4" i="72" s="1"/>
  <c r="DT4" i="72" s="1"/>
  <c r="EE4" i="72" s="1"/>
  <c r="EP4" i="72" s="1"/>
  <c r="CL4" i="72"/>
  <c r="CW4" i="72" s="1"/>
  <c r="DI4" i="72" s="1"/>
  <c r="DS4" i="72" s="1"/>
  <c r="ED4" i="72" s="1"/>
  <c r="EO4" i="72" s="1"/>
  <c r="CK4" i="72"/>
  <c r="CV4" i="72" s="1"/>
  <c r="DH4" i="72" s="1"/>
  <c r="DR4" i="72" s="1"/>
  <c r="EC4" i="72" s="1"/>
  <c r="EN4" i="72" s="1"/>
  <c r="CJ4" i="72"/>
  <c r="CU4" i="72" s="1"/>
  <c r="DG4" i="72" s="1"/>
  <c r="DQ4" i="72" s="1"/>
  <c r="EB4" i="72" s="1"/>
  <c r="EM4" i="72" s="1"/>
  <c r="CH4" i="72"/>
  <c r="CC4" i="72"/>
  <c r="CB4" i="72"/>
  <c r="CP6" i="72" s="1"/>
  <c r="DA6" i="72" s="1"/>
  <c r="CA4" i="72"/>
  <c r="CK33" i="72" s="1"/>
  <c r="CV33" i="72" s="1"/>
  <c r="BZ4" i="72"/>
  <c r="AF5" i="68"/>
  <c r="K4" i="33"/>
  <c r="J4" i="33"/>
  <c r="I4" i="33" s="1"/>
  <c r="H4" i="33" s="1"/>
  <c r="G4" i="33" s="1"/>
  <c r="AZ33" i="67" l="1"/>
  <c r="AA33" i="67" s="1"/>
  <c r="AB33" i="67" s="1"/>
  <c r="AY34" i="67"/>
  <c r="AZ34" i="67" s="1"/>
  <c r="AT34" i="67"/>
  <c r="AT32" i="67"/>
  <c r="AU32" i="67"/>
  <c r="AX32" i="67" s="1"/>
  <c r="CD12" i="46"/>
  <c r="CH12" i="46" s="1"/>
  <c r="AB12" i="46" s="1"/>
  <c r="AC12" i="46" s="1"/>
  <c r="CB12" i="46"/>
  <c r="DD11" i="46"/>
  <c r="DG11" i="46" s="1"/>
  <c r="DJ11" i="46" s="1"/>
  <c r="DM11" i="46" s="1"/>
  <c r="CZ11" i="46"/>
  <c r="DD12" i="46"/>
  <c r="DG12" i="46" s="1"/>
  <c r="DJ12" i="46" s="1"/>
  <c r="DM12" i="46" s="1"/>
  <c r="CZ12" i="46"/>
  <c r="CD11" i="46"/>
  <c r="CH11" i="46" s="1"/>
  <c r="AB11" i="46" s="1"/>
  <c r="AC11" i="46" s="1"/>
  <c r="CB11" i="46"/>
  <c r="CJ11" i="46"/>
  <c r="CN11" i="46" s="1"/>
  <c r="BK11" i="46"/>
  <c r="BP11" i="46" s="1"/>
  <c r="BM11" i="46"/>
  <c r="BY11" i="46" s="1"/>
  <c r="BM12" i="46"/>
  <c r="BY12" i="46" s="1"/>
  <c r="BJ12" i="46"/>
  <c r="AF12" i="46" s="1"/>
  <c r="CT15" i="34"/>
  <c r="CT14" i="34"/>
  <c r="BV16" i="34"/>
  <c r="CT13" i="34"/>
  <c r="BJ13" i="34"/>
  <c r="BV13" i="34" s="1"/>
  <c r="BJ14" i="34"/>
  <c r="BV14" i="34" s="1"/>
  <c r="BJ15" i="34"/>
  <c r="BV15" i="34" s="1"/>
  <c r="CN16" i="34"/>
  <c r="CR16" i="34" s="1"/>
  <c r="CC13" i="34"/>
  <c r="CI13" i="34" s="1"/>
  <c r="CC14" i="34"/>
  <c r="CI14" i="34" s="1"/>
  <c r="CC15" i="34"/>
  <c r="CI15" i="34" s="1"/>
  <c r="CC16" i="34"/>
  <c r="CI16" i="34" s="1"/>
  <c r="CD13" i="34"/>
  <c r="CJ13" i="34" s="1"/>
  <c r="CD14" i="34"/>
  <c r="CJ14" i="34" s="1"/>
  <c r="CD15" i="34"/>
  <c r="CJ15" i="34" s="1"/>
  <c r="CD16" i="34"/>
  <c r="CJ16" i="34" s="1"/>
  <c r="BD25" i="37"/>
  <c r="BE25" i="37" s="1"/>
  <c r="Y25" i="37" s="1"/>
  <c r="Z25" i="37" s="1"/>
  <c r="AB25" i="37" s="1"/>
  <c r="AC27" i="37"/>
  <c r="CS23" i="74"/>
  <c r="CR23" i="74"/>
  <c r="EI22" i="74"/>
  <c r="ET22" i="74" s="1"/>
  <c r="EA25" i="74"/>
  <c r="EL25" i="74" s="1"/>
  <c r="AQ25" i="74" s="1"/>
  <c r="EC26" i="74"/>
  <c r="EN26" i="74" s="1"/>
  <c r="AS26" i="74" s="1"/>
  <c r="EF27" i="74"/>
  <c r="EQ27" i="74"/>
  <c r="EH30" i="74"/>
  <c r="ES30" i="74" s="1"/>
  <c r="EH29" i="74"/>
  <c r="ES29" i="74"/>
  <c r="EC23" i="74"/>
  <c r="EN23" i="74"/>
  <c r="AS23" i="74" s="1"/>
  <c r="E7" i="50" s="1"/>
  <c r="EC25" i="74"/>
  <c r="EN25" i="74" s="1"/>
  <c r="AS25" i="74" s="1"/>
  <c r="EE26" i="74"/>
  <c r="EP26" i="74" s="1"/>
  <c r="EO25" i="74"/>
  <c r="AT25" i="74" s="1"/>
  <c r="ED25" i="74"/>
  <c r="EH26" i="74"/>
  <c r="ES26" i="74"/>
  <c r="EC24" i="74"/>
  <c r="EN24" i="74" s="1"/>
  <c r="AS24" i="74" s="1"/>
  <c r="EE25" i="74"/>
  <c r="EP25" i="74" s="1"/>
  <c r="EC22" i="74"/>
  <c r="EN22" i="74"/>
  <c r="AS22" i="74" s="1"/>
  <c r="ED24" i="74"/>
  <c r="EO24" i="74" s="1"/>
  <c r="AT24" i="74" s="1"/>
  <c r="EF25" i="74"/>
  <c r="EQ25" i="74" s="1"/>
  <c r="ED27" i="74"/>
  <c r="EO27" i="74"/>
  <c r="AT27" i="74" s="1"/>
  <c r="EG28" i="74"/>
  <c r="ER28" i="74" s="1"/>
  <c r="EB30" i="74"/>
  <c r="EM30" i="74"/>
  <c r="ED22" i="74"/>
  <c r="EO22" i="74" s="1"/>
  <c r="AT22" i="74" s="1"/>
  <c r="F7" i="50" s="1"/>
  <c r="EE24" i="74"/>
  <c r="EP24" i="74" s="1"/>
  <c r="DC25" i="74"/>
  <c r="DO25" i="74"/>
  <c r="EG25" i="74"/>
  <c r="ER25" i="74" s="1"/>
  <c r="EE27" i="74"/>
  <c r="EP27" i="74"/>
  <c r="EH28" i="74"/>
  <c r="ES28" i="74"/>
  <c r="ET29" i="74"/>
  <c r="EI29" i="74"/>
  <c r="EC30" i="74"/>
  <c r="EN30" i="74"/>
  <c r="EE22" i="74"/>
  <c r="EP22" i="74"/>
  <c r="EF24" i="74"/>
  <c r="EQ24" i="74" s="1"/>
  <c r="EI28" i="74"/>
  <c r="ET28" i="74"/>
  <c r="ED30" i="74"/>
  <c r="EO30" i="74"/>
  <c r="EG24" i="74"/>
  <c r="ER24" i="74"/>
  <c r="EF26" i="74"/>
  <c r="EQ26" i="74" s="1"/>
  <c r="EE30" i="74"/>
  <c r="EP30" i="74" s="1"/>
  <c r="EF28" i="74"/>
  <c r="EQ28" i="74"/>
  <c r="EG29" i="74"/>
  <c r="ER29" i="74"/>
  <c r="EI30" i="74"/>
  <c r="ET30" i="74" s="1"/>
  <c r="EO23" i="74"/>
  <c r="AT23" i="74" s="1"/>
  <c r="EF30" i="74"/>
  <c r="EQ30" i="74" s="1"/>
  <c r="EF23" i="74"/>
  <c r="EQ23" i="74" s="1"/>
  <c r="EI24" i="74"/>
  <c r="ET24" i="74" s="1"/>
  <c r="EI27" i="74"/>
  <c r="ET27" i="74" s="1"/>
  <c r="EA28" i="74"/>
  <c r="EL28" i="74" s="1"/>
  <c r="AQ28" i="74" s="1"/>
  <c r="EA29" i="74"/>
  <c r="EL29" i="74"/>
  <c r="EG23" i="74"/>
  <c r="ER23" i="74" s="1"/>
  <c r="EA24" i="74"/>
  <c r="EL24" i="74"/>
  <c r="AQ24" i="74" s="1"/>
  <c r="ED28" i="74"/>
  <c r="EO28" i="74"/>
  <c r="AT28" i="74" s="1"/>
  <c r="DO29" i="74"/>
  <c r="DC29" i="74"/>
  <c r="EF29" i="74"/>
  <c r="EQ29" i="74"/>
  <c r="EC28" i="74"/>
  <c r="EN28" i="74" s="1"/>
  <c r="AS28" i="74" s="1"/>
  <c r="EB29" i="74"/>
  <c r="EM29" i="74"/>
  <c r="EH22" i="74"/>
  <c r="ES22" i="74" s="1"/>
  <c r="EI25" i="74"/>
  <c r="ET25" i="74"/>
  <c r="EB26" i="74"/>
  <c r="EM26" i="74" s="1"/>
  <c r="AR26" i="74" s="1"/>
  <c r="EC27" i="74"/>
  <c r="EN27" i="74"/>
  <c r="AS27" i="74" s="1"/>
  <c r="EG30" i="74"/>
  <c r="ER30" i="74" s="1"/>
  <c r="EA23" i="74"/>
  <c r="EL23" i="74"/>
  <c r="AQ23" i="74" s="1"/>
  <c r="EB28" i="74"/>
  <c r="EM28" i="74" s="1"/>
  <c r="AR28" i="74" s="1"/>
  <c r="EB23" i="74"/>
  <c r="EM23" i="74"/>
  <c r="AR23" i="74" s="1"/>
  <c r="EB25" i="74"/>
  <c r="EM25" i="74" s="1"/>
  <c r="AR25" i="74" s="1"/>
  <c r="ED26" i="74"/>
  <c r="EO26" i="74"/>
  <c r="AT26" i="74" s="1"/>
  <c r="EB22" i="74"/>
  <c r="EM22" i="74"/>
  <c r="AR22" i="74" s="1"/>
  <c r="EE23" i="74"/>
  <c r="EP23" i="74" s="1"/>
  <c r="ED23" i="74"/>
  <c r="EH24" i="74"/>
  <c r="ES24" i="74" s="1"/>
  <c r="EG26" i="74"/>
  <c r="ER26" i="74" s="1"/>
  <c r="EH27" i="74"/>
  <c r="ES27" i="74" s="1"/>
  <c r="DO24" i="74"/>
  <c r="DC24" i="74"/>
  <c r="DZ22" i="74"/>
  <c r="EJ22" i="74" s="1"/>
  <c r="AO22" i="74" s="1"/>
  <c r="DY22" i="74"/>
  <c r="EK22" i="74"/>
  <c r="EH23" i="74"/>
  <c r="ES23" i="74" s="1"/>
  <c r="EB24" i="74"/>
  <c r="EM24" i="74"/>
  <c r="AR24" i="74" s="1"/>
  <c r="EA22" i="74"/>
  <c r="EL22" i="74"/>
  <c r="AQ22" i="74" s="1"/>
  <c r="EI23" i="74"/>
  <c r="ET23" i="74"/>
  <c r="EA27" i="74"/>
  <c r="EL27" i="74" s="1"/>
  <c r="AQ27" i="74" s="1"/>
  <c r="ED29" i="74"/>
  <c r="EO29" i="74"/>
  <c r="DZ30" i="74"/>
  <c r="EJ30" i="74" s="1"/>
  <c r="DY30" i="74"/>
  <c r="EK30" i="74"/>
  <c r="EU30" i="74" s="1"/>
  <c r="EG22" i="74"/>
  <c r="ER22" i="74" s="1"/>
  <c r="EF22" i="74"/>
  <c r="EQ22" i="74" s="1"/>
  <c r="EH25" i="74"/>
  <c r="ES25" i="74" s="1"/>
  <c r="EA26" i="74"/>
  <c r="EL26" i="74" s="1"/>
  <c r="AQ26" i="74" s="1"/>
  <c r="EB27" i="74"/>
  <c r="EM27" i="74" s="1"/>
  <c r="AR27" i="74" s="1"/>
  <c r="EE29" i="74"/>
  <c r="EP29" i="74" s="1"/>
  <c r="ER27" i="74"/>
  <c r="EL30" i="74"/>
  <c r="DO26" i="74"/>
  <c r="ET26" i="74"/>
  <c r="EP28" i="74"/>
  <c r="EN29" i="74"/>
  <c r="DO28" i="74"/>
  <c r="CR24" i="74"/>
  <c r="DO27" i="74"/>
  <c r="CR25" i="74"/>
  <c r="AR6" i="73"/>
  <c r="D10" i="50"/>
  <c r="C10" i="50"/>
  <c r="C9" i="50"/>
  <c r="AP6" i="69"/>
  <c r="E6" i="50"/>
  <c r="F6" i="50"/>
  <c r="F13" i="50"/>
  <c r="C14" i="50"/>
  <c r="E16" i="50"/>
  <c r="AR9" i="75"/>
  <c r="D8" i="50"/>
  <c r="AR12" i="38"/>
  <c r="AP13" i="38"/>
  <c r="AR13" i="38" s="1"/>
  <c r="AR6" i="41"/>
  <c r="D13" i="50"/>
  <c r="AR11" i="42"/>
  <c r="D15" i="50"/>
  <c r="F11" i="50"/>
  <c r="AP6" i="72"/>
  <c r="AP13" i="43"/>
  <c r="D16" i="50"/>
  <c r="AR9" i="39"/>
  <c r="C16" i="50"/>
  <c r="CJ32" i="72"/>
  <c r="CP27" i="72"/>
  <c r="DA27" i="72" s="1"/>
  <c r="CL21" i="72"/>
  <c r="CN16" i="72"/>
  <c r="CH13" i="72"/>
  <c r="CS13" i="72" s="1"/>
  <c r="CL7" i="72"/>
  <c r="CW7" i="72" s="1"/>
  <c r="CP34" i="72"/>
  <c r="DA34" i="72" s="1"/>
  <c r="CJ31" i="72"/>
  <c r="CU31" i="72" s="1"/>
  <c r="CJ19" i="72"/>
  <c r="CO7" i="72"/>
  <c r="CZ7" i="72" s="1"/>
  <c r="CQ22" i="72"/>
  <c r="CO18" i="72"/>
  <c r="CZ18" i="72" s="1"/>
  <c r="CQ23" i="72"/>
  <c r="DB23" i="72" s="1"/>
  <c r="CP26" i="73"/>
  <c r="DA26" i="73" s="1"/>
  <c r="CK12" i="72"/>
  <c r="CV12" i="72" s="1"/>
  <c r="CP22" i="72"/>
  <c r="CN18" i="72"/>
  <c r="CY18" i="72" s="1"/>
  <c r="CQ27" i="73"/>
  <c r="DB27" i="73" s="1"/>
  <c r="CO14" i="75"/>
  <c r="CZ14" i="75" s="1"/>
  <c r="CP32" i="72"/>
  <c r="DA32" i="72" s="1"/>
  <c r="CO22" i="72"/>
  <c r="CN32" i="72"/>
  <c r="CH29" i="72"/>
  <c r="CS29" i="72" s="1"/>
  <c r="CN22" i="72"/>
  <c r="CN17" i="72"/>
  <c r="CN13" i="72"/>
  <c r="CM19" i="75"/>
  <c r="CO30" i="72"/>
  <c r="CJ23" i="72"/>
  <c r="CU23" i="72" s="1"/>
  <c r="CM32" i="72"/>
  <c r="CX32" i="72" s="1"/>
  <c r="CM17" i="72"/>
  <c r="CM13" i="72"/>
  <c r="CP12" i="73"/>
  <c r="CL32" i="72"/>
  <c r="CQ21" i="72"/>
  <c r="DB21" i="72" s="1"/>
  <c r="CP16" i="72"/>
  <c r="CL13" i="72"/>
  <c r="CN7" i="72"/>
  <c r="CY7" i="72" s="1"/>
  <c r="CI28" i="72"/>
  <c r="CQ12" i="73"/>
  <c r="CQ9" i="75"/>
  <c r="DB9" i="75" s="1"/>
  <c r="CQ10" i="75"/>
  <c r="DB10" i="75" s="1"/>
  <c r="CP11" i="75"/>
  <c r="DA11" i="75" s="1"/>
  <c r="CM9" i="75"/>
  <c r="CX9" i="75" s="1"/>
  <c r="CL9" i="75"/>
  <c r="CW9" i="75" s="1"/>
  <c r="CE4" i="75"/>
  <c r="CK9" i="75"/>
  <c r="CV9" i="75" s="1"/>
  <c r="CM13" i="75"/>
  <c r="CX13" i="75" s="1"/>
  <c r="CM17" i="75"/>
  <c r="CQ8" i="75"/>
  <c r="DB8" i="75" s="1"/>
  <c r="CJ9" i="75"/>
  <c r="CU9" i="75" s="1"/>
  <c r="CQ13" i="75"/>
  <c r="CN17" i="75"/>
  <c r="CY17" i="75" s="1"/>
  <c r="CI9" i="75"/>
  <c r="CT9" i="75" s="1"/>
  <c r="CO17" i="75"/>
  <c r="CH9" i="75"/>
  <c r="CP9" i="75"/>
  <c r="DA9" i="75" s="1"/>
  <c r="CO11" i="75"/>
  <c r="CJ16" i="75"/>
  <c r="CU16" i="75" s="1"/>
  <c r="CL18" i="75"/>
  <c r="CM18" i="75"/>
  <c r="CX18" i="75" s="1"/>
  <c r="CQ12" i="75"/>
  <c r="DB12" i="75" s="1"/>
  <c r="CN18" i="75"/>
  <c r="CY18" i="75" s="1"/>
  <c r="CO6" i="75"/>
  <c r="CH20" i="75"/>
  <c r="CS20" i="75" s="1"/>
  <c r="CQ20" i="75"/>
  <c r="DB20" i="75" s="1"/>
  <c r="CH11" i="75"/>
  <c r="CS11" i="75" s="1"/>
  <c r="CH16" i="75"/>
  <c r="CS16" i="75" s="1"/>
  <c r="CD4" i="75"/>
  <c r="CL13" i="75"/>
  <c r="CQ6" i="75"/>
  <c r="DB6" i="75" s="1"/>
  <c r="CP10" i="75"/>
  <c r="DA10" i="75" s="1"/>
  <c r="CP14" i="75"/>
  <c r="DA14" i="75" s="1"/>
  <c r="CO9" i="75"/>
  <c r="CZ9" i="75" s="1"/>
  <c r="CI17" i="75"/>
  <c r="CT17" i="75" s="1"/>
  <c r="CI10" i="75"/>
  <c r="CT10" i="75" s="1"/>
  <c r="CX19" i="75"/>
  <c r="DD19" i="75"/>
  <c r="CW19" i="75"/>
  <c r="CJ15" i="75"/>
  <c r="CU15" i="75" s="1"/>
  <c r="CI15" i="75"/>
  <c r="CT15" i="75" s="1"/>
  <c r="CH15" i="75"/>
  <c r="CR15" i="75" s="1"/>
  <c r="CQ15" i="75"/>
  <c r="DB15" i="75" s="1"/>
  <c r="CK15" i="75"/>
  <c r="CN15" i="75"/>
  <c r="CY15" i="75" s="1"/>
  <c r="CL15" i="75"/>
  <c r="CP15" i="75"/>
  <c r="DA15" i="75" s="1"/>
  <c r="CO15" i="75"/>
  <c r="CZ15" i="75" s="1"/>
  <c r="CM15" i="75"/>
  <c r="CX15" i="75" s="1"/>
  <c r="DD15" i="75"/>
  <c r="CW15" i="75"/>
  <c r="CV15" i="75"/>
  <c r="CF4" i="75"/>
  <c r="DN20" i="75" s="1"/>
  <c r="DX20" i="75" s="1"/>
  <c r="CJ8" i="75"/>
  <c r="CU8" i="75" s="1"/>
  <c r="CK21" i="75"/>
  <c r="CV21" i="75" s="1"/>
  <c r="CJ21" i="75"/>
  <c r="CI11" i="75"/>
  <c r="CT11" i="75" s="1"/>
  <c r="CI7" i="75"/>
  <c r="CT7" i="75" s="1"/>
  <c r="CI12" i="75"/>
  <c r="CT12" i="75" s="1"/>
  <c r="CK11" i="75"/>
  <c r="CV11" i="75" s="1"/>
  <c r="CJ11" i="75"/>
  <c r="CU11" i="75" s="1"/>
  <c r="CI8" i="75"/>
  <c r="CT8" i="75" s="1"/>
  <c r="CI6" i="75"/>
  <c r="CT6" i="75" s="1"/>
  <c r="CL14" i="75"/>
  <c r="CW14" i="75" s="1"/>
  <c r="CN13" i="75"/>
  <c r="CY13" i="75" s="1"/>
  <c r="CJ6" i="75"/>
  <c r="CU6" i="75" s="1"/>
  <c r="CM5" i="75"/>
  <c r="CX5" i="75" s="1"/>
  <c r="CK14" i="75"/>
  <c r="CV14" i="75" s="1"/>
  <c r="CH7" i="75"/>
  <c r="CH5" i="75"/>
  <c r="CI14" i="75"/>
  <c r="CT14" i="75" s="1"/>
  <c r="CM6" i="75"/>
  <c r="CX6" i="75" s="1"/>
  <c r="CH8" i="75"/>
  <c r="DD12" i="75"/>
  <c r="CS12" i="75"/>
  <c r="DB5" i="75"/>
  <c r="CU5" i="75"/>
  <c r="DA7" i="75"/>
  <c r="CZ11" i="75"/>
  <c r="CW13" i="75"/>
  <c r="CP8" i="75"/>
  <c r="DA8" i="75" s="1"/>
  <c r="CN20" i="75"/>
  <c r="CY20" i="75" s="1"/>
  <c r="CN16" i="75"/>
  <c r="CY16" i="75" s="1"/>
  <c r="CO12" i="75"/>
  <c r="CZ12" i="75" s="1"/>
  <c r="CO10" i="75"/>
  <c r="CZ10" i="75" s="1"/>
  <c r="CO8" i="75"/>
  <c r="CZ8" i="75" s="1"/>
  <c r="CQ21" i="75"/>
  <c r="DB21" i="75" s="1"/>
  <c r="CQ17" i="75"/>
  <c r="DB17" i="75" s="1"/>
  <c r="CN12" i="75"/>
  <c r="CY12" i="75" s="1"/>
  <c r="CN10" i="75"/>
  <c r="CY10" i="75" s="1"/>
  <c r="CN8" i="75"/>
  <c r="CY8" i="75" s="1"/>
  <c r="CP21" i="75"/>
  <c r="DA21" i="75" s="1"/>
  <c r="CP17" i="75"/>
  <c r="DA17" i="75" s="1"/>
  <c r="CQ11" i="75"/>
  <c r="DB11" i="75" s="1"/>
  <c r="CP5" i="75"/>
  <c r="DA5" i="75" s="1"/>
  <c r="CO18" i="75"/>
  <c r="CZ18" i="75" s="1"/>
  <c r="CO7" i="75"/>
  <c r="CZ7" i="75" s="1"/>
  <c r="CN21" i="75"/>
  <c r="CY21" i="75" s="1"/>
  <c r="CP12" i="75"/>
  <c r="DA12" i="75" s="1"/>
  <c r="CN7" i="75"/>
  <c r="CY7" i="75" s="1"/>
  <c r="CQ14" i="75"/>
  <c r="DB14" i="75" s="1"/>
  <c r="CP6" i="75"/>
  <c r="DA6" i="75" s="1"/>
  <c r="CO16" i="75"/>
  <c r="CZ16" i="75" s="1"/>
  <c r="CO20" i="75"/>
  <c r="CZ20" i="75" s="1"/>
  <c r="CQ19" i="75"/>
  <c r="DB19" i="75" s="1"/>
  <c r="CN14" i="75"/>
  <c r="CY14" i="75" s="1"/>
  <c r="CP13" i="75"/>
  <c r="DA13" i="75" s="1"/>
  <c r="CP19" i="75"/>
  <c r="DA19" i="75" s="1"/>
  <c r="CO13" i="75"/>
  <c r="CZ13" i="75" s="1"/>
  <c r="CN6" i="75"/>
  <c r="CY6" i="75" s="1"/>
  <c r="CP20" i="75"/>
  <c r="DA20" i="75" s="1"/>
  <c r="CO21" i="75"/>
  <c r="CZ21" i="75" s="1"/>
  <c r="CN11" i="75"/>
  <c r="CY11" i="75" s="1"/>
  <c r="CQ16" i="75"/>
  <c r="DB16" i="75" s="1"/>
  <c r="CQ7" i="75"/>
  <c r="DB7" i="75" s="1"/>
  <c r="CN19" i="75"/>
  <c r="CY19" i="75" s="1"/>
  <c r="CQ5" i="75"/>
  <c r="CO5" i="75"/>
  <c r="CZ5" i="75" s="1"/>
  <c r="CO19" i="75"/>
  <c r="CZ19" i="75" s="1"/>
  <c r="CP16" i="75"/>
  <c r="DA16" i="75" s="1"/>
  <c r="CP7" i="75"/>
  <c r="CN5" i="75"/>
  <c r="CY5" i="75" s="1"/>
  <c r="CK16" i="75"/>
  <c r="CV16" i="75" s="1"/>
  <c r="CP18" i="75"/>
  <c r="DD21" i="75"/>
  <c r="DD13" i="75"/>
  <c r="DB13" i="75"/>
  <c r="CH17" i="75"/>
  <c r="CQ18" i="75"/>
  <c r="DB18" i="75" s="1"/>
  <c r="CU21" i="75"/>
  <c r="DD6" i="75"/>
  <c r="CZ6" i="75"/>
  <c r="CM11" i="75"/>
  <c r="CX11" i="75" s="1"/>
  <c r="CJ12" i="75"/>
  <c r="CU12" i="75" s="1"/>
  <c r="CJ18" i="75"/>
  <c r="CU18" i="75" s="1"/>
  <c r="CL21" i="75"/>
  <c r="CW21" i="75" s="1"/>
  <c r="CH10" i="75"/>
  <c r="CK12" i="75"/>
  <c r="CV12" i="75" s="1"/>
  <c r="CK18" i="75"/>
  <c r="CV18" i="75" s="1"/>
  <c r="CL7" i="75"/>
  <c r="CW7" i="75" s="1"/>
  <c r="CH6" i="75"/>
  <c r="CJ19" i="75"/>
  <c r="CU19" i="75" s="1"/>
  <c r="CK13" i="75"/>
  <c r="CV13" i="75" s="1"/>
  <c r="CK7" i="75"/>
  <c r="CV7" i="75" s="1"/>
  <c r="CM20" i="75"/>
  <c r="CX20" i="75" s="1"/>
  <c r="CI19" i="75"/>
  <c r="CT19" i="75" s="1"/>
  <c r="CM16" i="75"/>
  <c r="CX16" i="75" s="1"/>
  <c r="CJ13" i="75"/>
  <c r="CU13" i="75" s="1"/>
  <c r="CJ7" i="75"/>
  <c r="CU7" i="75" s="1"/>
  <c r="CL20" i="75"/>
  <c r="CW20" i="75" s="1"/>
  <c r="CH19" i="75"/>
  <c r="CS19" i="75" s="1"/>
  <c r="CL16" i="75"/>
  <c r="CW16" i="75" s="1"/>
  <c r="CI13" i="75"/>
  <c r="CT13" i="75" s="1"/>
  <c r="CM12" i="75"/>
  <c r="CX12" i="75" s="1"/>
  <c r="CM10" i="75"/>
  <c r="CX10" i="75" s="1"/>
  <c r="CL17" i="75"/>
  <c r="CW17" i="75" s="1"/>
  <c r="CI16" i="75"/>
  <c r="CT16" i="75" s="1"/>
  <c r="CH14" i="75"/>
  <c r="CM8" i="75"/>
  <c r="CX8" i="75" s="1"/>
  <c r="CL6" i="75"/>
  <c r="CW6" i="75" s="1"/>
  <c r="CJ5" i="75"/>
  <c r="CK20" i="75"/>
  <c r="CV20" i="75" s="1"/>
  <c r="CL19" i="75"/>
  <c r="CI18" i="75"/>
  <c r="CT18" i="75" s="1"/>
  <c r="CH13" i="75"/>
  <c r="CL8" i="75"/>
  <c r="CW8" i="75" s="1"/>
  <c r="CK6" i="75"/>
  <c r="CV6" i="75" s="1"/>
  <c r="CI5" i="75"/>
  <c r="CT5" i="75" s="1"/>
  <c r="CM21" i="75"/>
  <c r="CX21" i="75" s="1"/>
  <c r="CJ20" i="75"/>
  <c r="CU20" i="75" s="1"/>
  <c r="CK19" i="75"/>
  <c r="CV19" i="75" s="1"/>
  <c r="CH18" i="75"/>
  <c r="CL12" i="75"/>
  <c r="CW12" i="75" s="1"/>
  <c r="CM7" i="75"/>
  <c r="CX7" i="75" s="1"/>
  <c r="CJ17" i="75"/>
  <c r="CU17" i="75" s="1"/>
  <c r="CL11" i="75"/>
  <c r="CW11" i="75" s="1"/>
  <c r="CL5" i="75"/>
  <c r="CW5" i="75" s="1"/>
  <c r="CI21" i="75"/>
  <c r="CT21" i="75" s="1"/>
  <c r="CH12" i="75"/>
  <c r="CL10" i="75"/>
  <c r="CW10" i="75" s="1"/>
  <c r="CK5" i="75"/>
  <c r="CV5" i="75" s="1"/>
  <c r="CH21" i="75"/>
  <c r="CR21" i="75" s="1"/>
  <c r="CI20" i="75"/>
  <c r="CT20" i="75" s="1"/>
  <c r="CM14" i="75"/>
  <c r="CX14" i="75" s="1"/>
  <c r="CK10" i="75"/>
  <c r="CV10" i="75" s="1"/>
  <c r="CJ14" i="75"/>
  <c r="CU14" i="75" s="1"/>
  <c r="CK17" i="75"/>
  <c r="CV17" i="75" s="1"/>
  <c r="CK8" i="75"/>
  <c r="CV8" i="75" s="1"/>
  <c r="CX17" i="75"/>
  <c r="CZ17" i="75"/>
  <c r="DA18" i="75"/>
  <c r="CW18" i="75"/>
  <c r="CM6" i="74"/>
  <c r="CX6" i="74" s="1"/>
  <c r="CP21" i="74"/>
  <c r="DA21" i="74" s="1"/>
  <c r="CM29" i="73"/>
  <c r="CJ29" i="73"/>
  <c r="CL26" i="73"/>
  <c r="CW26" i="73" s="1"/>
  <c r="CJ18" i="73"/>
  <c r="CU18" i="73" s="1"/>
  <c r="CL34" i="73"/>
  <c r="CW34" i="73" s="1"/>
  <c r="CI26" i="73"/>
  <c r="CT26" i="73" s="1"/>
  <c r="CI18" i="73"/>
  <c r="CT18" i="73" s="1"/>
  <c r="CK34" i="73"/>
  <c r="CV34" i="73" s="1"/>
  <c r="CH18" i="73"/>
  <c r="CS18" i="73" s="1"/>
  <c r="CM13" i="73"/>
  <c r="CX13" i="73" s="1"/>
  <c r="CM6" i="73"/>
  <c r="CX6" i="73" s="1"/>
  <c r="CL6" i="73"/>
  <c r="CW6" i="73" s="1"/>
  <c r="CJ34" i="73"/>
  <c r="CU34" i="73" s="1"/>
  <c r="CM25" i="73"/>
  <c r="CX25" i="73" s="1"/>
  <c r="CK6" i="73"/>
  <c r="CV6" i="73" s="1"/>
  <c r="CM24" i="73"/>
  <c r="CX24" i="73" s="1"/>
  <c r="CJ6" i="73"/>
  <c r="CU6" i="73" s="1"/>
  <c r="CM23" i="73"/>
  <c r="CX23" i="73" s="1"/>
  <c r="CI6" i="73"/>
  <c r="CT6" i="73" s="1"/>
  <c r="CL5" i="73"/>
  <c r="CW5" i="73" s="1"/>
  <c r="CH6" i="73"/>
  <c r="CS6" i="73" s="1"/>
  <c r="CK5" i="73"/>
  <c r="CV5" i="73" s="1"/>
  <c r="CJ5" i="73"/>
  <c r="CU5" i="73" s="1"/>
  <c r="CQ18" i="73"/>
  <c r="DB18" i="73" s="1"/>
  <c r="CH20" i="73"/>
  <c r="CS20" i="73" s="1"/>
  <c r="CP6" i="73"/>
  <c r="DA6" i="73" s="1"/>
  <c r="CJ25" i="72"/>
  <c r="CU25" i="72" s="1"/>
  <c r="CM22" i="72"/>
  <c r="CX22" i="72" s="1"/>
  <c r="CM18" i="72"/>
  <c r="CX18" i="72" s="1"/>
  <c r="CM16" i="72"/>
  <c r="CK13" i="72"/>
  <c r="CK26" i="73"/>
  <c r="CV26" i="73" s="1"/>
  <c r="CL19" i="73"/>
  <c r="CW19" i="73" s="1"/>
  <c r="CO10" i="38"/>
  <c r="CM33" i="72"/>
  <c r="CX33" i="72" s="1"/>
  <c r="CH32" i="72"/>
  <c r="CS32" i="72" s="1"/>
  <c r="CQ30" i="72"/>
  <c r="DB30" i="72" s="1"/>
  <c r="CP19" i="72"/>
  <c r="DA19" i="72" s="1"/>
  <c r="CH14" i="72"/>
  <c r="CJ13" i="72"/>
  <c r="CU13" i="72" s="1"/>
  <c r="CL21" i="38"/>
  <c r="CW21" i="38" s="1"/>
  <c r="CH22" i="38"/>
  <c r="CS22" i="38" s="1"/>
  <c r="CM21" i="38"/>
  <c r="CX21" i="38" s="1"/>
  <c r="CJ10" i="38"/>
  <c r="CI10" i="38"/>
  <c r="CT10" i="38" s="1"/>
  <c r="CO34" i="72"/>
  <c r="CZ34" i="72" s="1"/>
  <c r="CP21" i="72"/>
  <c r="DA21" i="72" s="1"/>
  <c r="CJ12" i="72"/>
  <c r="CU12" i="72" s="1"/>
  <c r="CL23" i="73"/>
  <c r="CW23" i="73" s="1"/>
  <c r="CO14" i="38"/>
  <c r="CZ14" i="38" s="1"/>
  <c r="CN34" i="72"/>
  <c r="CY34" i="72" s="1"/>
  <c r="CH33" i="72"/>
  <c r="CS33" i="72" s="1"/>
  <c r="CQ31" i="72"/>
  <c r="DB31" i="72" s="1"/>
  <c r="CM23" i="72"/>
  <c r="CX23" i="72" s="1"/>
  <c r="CO21" i="72"/>
  <c r="CZ21" i="72" s="1"/>
  <c r="CI12" i="72"/>
  <c r="CT12" i="72" s="1"/>
  <c r="CN8" i="72"/>
  <c r="CJ7" i="72"/>
  <c r="CU7" i="72" s="1"/>
  <c r="CN34" i="73"/>
  <c r="CY34" i="73" s="1"/>
  <c r="CO6" i="73"/>
  <c r="CZ6" i="73" s="1"/>
  <c r="CO34" i="73"/>
  <c r="CZ34" i="73" s="1"/>
  <c r="CQ13" i="73"/>
  <c r="DB13" i="73" s="1"/>
  <c r="CN6" i="73"/>
  <c r="CY6" i="73" s="1"/>
  <c r="CP13" i="73"/>
  <c r="CN33" i="73"/>
  <c r="CO17" i="73"/>
  <c r="CZ17" i="73" s="1"/>
  <c r="CP5" i="73"/>
  <c r="CO5" i="73"/>
  <c r="CZ5" i="73" s="1"/>
  <c r="CQ23" i="73"/>
  <c r="DB23" i="73" s="1"/>
  <c r="CQ29" i="73"/>
  <c r="DB29" i="73" s="1"/>
  <c r="CP23" i="73"/>
  <c r="DA23" i="73" s="1"/>
  <c r="CN29" i="73"/>
  <c r="CM12" i="72"/>
  <c r="CX12" i="72" s="1"/>
  <c r="CN27" i="72"/>
  <c r="CY27" i="72" s="1"/>
  <c r="CJ33" i="72"/>
  <c r="CU33" i="72" s="1"/>
  <c r="CN30" i="72"/>
  <c r="CN23" i="72"/>
  <c r="CY23" i="72" s="1"/>
  <c r="CH19" i="72"/>
  <c r="CS19" i="72" s="1"/>
  <c r="CO8" i="72"/>
  <c r="CQ20" i="73"/>
  <c r="DB20" i="73" s="1"/>
  <c r="CF4" i="72"/>
  <c r="CM34" i="72"/>
  <c r="CX34" i="72" s="1"/>
  <c r="CP31" i="72"/>
  <c r="DA31" i="72" s="1"/>
  <c r="CL23" i="72"/>
  <c r="CW23" i="72" s="1"/>
  <c r="CN21" i="72"/>
  <c r="CY21" i="72" s="1"/>
  <c r="CP17" i="72"/>
  <c r="DA17" i="72" s="1"/>
  <c r="CP15" i="72"/>
  <c r="DA15" i="72" s="1"/>
  <c r="CH12" i="72"/>
  <c r="CS12" i="72" s="1"/>
  <c r="CH7" i="72"/>
  <c r="CR7" i="72" s="1"/>
  <c r="CP25" i="72"/>
  <c r="DA25" i="72" s="1"/>
  <c r="CL22" i="72"/>
  <c r="CW22" i="72" s="1"/>
  <c r="CL17" i="72"/>
  <c r="CL16" i="72"/>
  <c r="CM8" i="72"/>
  <c r="CN6" i="72"/>
  <c r="CY6" i="72" s="1"/>
  <c r="CL34" i="72"/>
  <c r="CI31" i="72"/>
  <c r="CM30" i="72"/>
  <c r="CO29" i="72"/>
  <c r="CZ29" i="72" s="1"/>
  <c r="CM27" i="72"/>
  <c r="CX27" i="72" s="1"/>
  <c r="CQ26" i="72"/>
  <c r="DB26" i="72" s="1"/>
  <c r="CO25" i="72"/>
  <c r="CZ25" i="72" s="1"/>
  <c r="CQ24" i="72"/>
  <c r="DB24" i="72" s="1"/>
  <c r="CH22" i="72"/>
  <c r="CS22" i="72" s="1"/>
  <c r="CJ21" i="72"/>
  <c r="CU21" i="72" s="1"/>
  <c r="CJ18" i="72"/>
  <c r="CU18" i="72" s="1"/>
  <c r="CJ17" i="72"/>
  <c r="CU17" i="72" s="1"/>
  <c r="CK16" i="72"/>
  <c r="CK15" i="72"/>
  <c r="CO14" i="72"/>
  <c r="CZ14" i="72" s="1"/>
  <c r="CL8" i="72"/>
  <c r="CW8" i="72" s="1"/>
  <c r="CM6" i="72"/>
  <c r="CX6" i="72" s="1"/>
  <c r="CK34" i="72"/>
  <c r="CH31" i="72"/>
  <c r="CS31" i="72" s="1"/>
  <c r="CL30" i="72"/>
  <c r="CW30" i="72" s="1"/>
  <c r="CN29" i="72"/>
  <c r="CY29" i="72" s="1"/>
  <c r="CL27" i="72"/>
  <c r="CW27" i="72" s="1"/>
  <c r="CP26" i="72"/>
  <c r="DA26" i="72" s="1"/>
  <c r="CN25" i="72"/>
  <c r="CY25" i="72" s="1"/>
  <c r="CP24" i="72"/>
  <c r="DA24" i="72" s="1"/>
  <c r="CH21" i="72"/>
  <c r="CS21" i="72" s="1"/>
  <c r="CH18" i="72"/>
  <c r="CS18" i="72" s="1"/>
  <c r="CH17" i="72"/>
  <c r="CS17" i="72" s="1"/>
  <c r="CJ16" i="72"/>
  <c r="CJ15" i="72"/>
  <c r="CU15" i="72" s="1"/>
  <c r="CN14" i="72"/>
  <c r="CK8" i="72"/>
  <c r="CL6" i="72"/>
  <c r="CK13" i="38"/>
  <c r="CH23" i="72"/>
  <c r="CS23" i="72" s="1"/>
  <c r="CK21" i="72"/>
  <c r="CL18" i="72"/>
  <c r="CW18" i="72" s="1"/>
  <c r="CL15" i="72"/>
  <c r="CW15" i="72" s="1"/>
  <c r="CJ34" i="72"/>
  <c r="CU34" i="72" s="1"/>
  <c r="CJ30" i="72"/>
  <c r="CU30" i="72" s="1"/>
  <c r="CM29" i="72"/>
  <c r="CX29" i="72" s="1"/>
  <c r="CK27" i="72"/>
  <c r="CV27" i="72" s="1"/>
  <c r="CO26" i="72"/>
  <c r="CZ26" i="72" s="1"/>
  <c r="CM25" i="72"/>
  <c r="CX25" i="72" s="1"/>
  <c r="CN24" i="72"/>
  <c r="CH16" i="72"/>
  <c r="CH15" i="72"/>
  <c r="CM14" i="72"/>
  <c r="CX14" i="72" s="1"/>
  <c r="CP12" i="72"/>
  <c r="DA12" i="72" s="1"/>
  <c r="CJ8" i="72"/>
  <c r="CJ6" i="72"/>
  <c r="CU6" i="72" s="1"/>
  <c r="CI34" i="72"/>
  <c r="CT34" i="72" s="1"/>
  <c r="CH30" i="72"/>
  <c r="CS30" i="72" s="1"/>
  <c r="CL29" i="72"/>
  <c r="CW29" i="72" s="1"/>
  <c r="CJ27" i="72"/>
  <c r="CU27" i="72" s="1"/>
  <c r="CN26" i="72"/>
  <c r="CY26" i="72" s="1"/>
  <c r="CL25" i="72"/>
  <c r="CW25" i="72" s="1"/>
  <c r="CM24" i="72"/>
  <c r="CX24" i="72" s="1"/>
  <c r="CL14" i="72"/>
  <c r="CW14" i="72" s="1"/>
  <c r="CP14" i="72"/>
  <c r="DA14" i="72" s="1"/>
  <c r="CO12" i="72"/>
  <c r="CZ12" i="72" s="1"/>
  <c r="CH8" i="72"/>
  <c r="CS8" i="72" s="1"/>
  <c r="CH6" i="72"/>
  <c r="CS6" i="72" s="1"/>
  <c r="CH34" i="72"/>
  <c r="CS34" i="72" s="1"/>
  <c r="CQ33" i="72"/>
  <c r="DB33" i="72" s="1"/>
  <c r="CJ29" i="72"/>
  <c r="CU29" i="72" s="1"/>
  <c r="CH27" i="72"/>
  <c r="CI26" i="72"/>
  <c r="CT26" i="72" s="1"/>
  <c r="CK25" i="72"/>
  <c r="CV25" i="72" s="1"/>
  <c r="CL24" i="72"/>
  <c r="CW24" i="72" s="1"/>
  <c r="CJ14" i="72"/>
  <c r="CU14" i="72" s="1"/>
  <c r="CN12" i="72"/>
  <c r="CY12" i="72" s="1"/>
  <c r="CP14" i="38"/>
  <c r="DA14" i="38" s="1"/>
  <c r="CO33" i="72"/>
  <c r="CZ33" i="72" s="1"/>
  <c r="CH25" i="72"/>
  <c r="CS25" i="72" s="1"/>
  <c r="CH24" i="72"/>
  <c r="CS24" i="72" s="1"/>
  <c r="CN19" i="72"/>
  <c r="CY19" i="72" s="1"/>
  <c r="CP13" i="72"/>
  <c r="DA13" i="72" s="1"/>
  <c r="CL12" i="72"/>
  <c r="CW12" i="72" s="1"/>
  <c r="CP7" i="72"/>
  <c r="DA7" i="72" s="1"/>
  <c r="CK6" i="74"/>
  <c r="CV6" i="74" s="1"/>
  <c r="CE4" i="72"/>
  <c r="CN33" i="72"/>
  <c r="CY33" i="72" s="1"/>
  <c r="CM19" i="72"/>
  <c r="CX19" i="72" s="1"/>
  <c r="CO13" i="72"/>
  <c r="CZ13" i="72" s="1"/>
  <c r="CL6" i="74"/>
  <c r="CW6" i="74" s="1"/>
  <c r="DA5" i="73"/>
  <c r="DD18" i="74"/>
  <c r="CH8" i="74"/>
  <c r="CJ5" i="74"/>
  <c r="CU5" i="74" s="1"/>
  <c r="CN8" i="74"/>
  <c r="CY8" i="74" s="1"/>
  <c r="CK5" i="74"/>
  <c r="CV5" i="74" s="1"/>
  <c r="CQ8" i="74"/>
  <c r="DB8" i="74" s="1"/>
  <c r="DD5" i="74"/>
  <c r="CM15" i="74"/>
  <c r="CX15" i="74" s="1"/>
  <c r="CJ16" i="74"/>
  <c r="CU16" i="74" s="1"/>
  <c r="CM18" i="74"/>
  <c r="CX18" i="74" s="1"/>
  <c r="DD7" i="74"/>
  <c r="CI10" i="74"/>
  <c r="CT10" i="74" s="1"/>
  <c r="CN11" i="74"/>
  <c r="CY11" i="74" s="1"/>
  <c r="CN15" i="74"/>
  <c r="CY15" i="74" s="1"/>
  <c r="CN18" i="74"/>
  <c r="CY18" i="74" s="1"/>
  <c r="CH21" i="74"/>
  <c r="CP15" i="74"/>
  <c r="DA15" i="74" s="1"/>
  <c r="CI21" i="74"/>
  <c r="CT21" i="74" s="1"/>
  <c r="CN20" i="74"/>
  <c r="CY20" i="74" s="1"/>
  <c r="CP7" i="74"/>
  <c r="DA7" i="74" s="1"/>
  <c r="CP16" i="74"/>
  <c r="DA16" i="74" s="1"/>
  <c r="CQ14" i="74"/>
  <c r="DB14" i="74" s="1"/>
  <c r="CQ21" i="74"/>
  <c r="DB21" i="74" s="1"/>
  <c r="CO7" i="74"/>
  <c r="CZ7" i="74" s="1"/>
  <c r="CO16" i="74"/>
  <c r="CZ16" i="74" s="1"/>
  <c r="CN21" i="74"/>
  <c r="CY21" i="74" s="1"/>
  <c r="CP17" i="74"/>
  <c r="DA17" i="74" s="1"/>
  <c r="CQ10" i="74"/>
  <c r="DB10" i="74" s="1"/>
  <c r="CP20" i="74"/>
  <c r="DA20" i="74" s="1"/>
  <c r="CN12" i="74"/>
  <c r="CY12" i="74" s="1"/>
  <c r="CN5" i="74"/>
  <c r="CY5" i="74" s="1"/>
  <c r="CO20" i="74"/>
  <c r="CZ20" i="74" s="1"/>
  <c r="CQ19" i="74"/>
  <c r="DB19" i="74" s="1"/>
  <c r="CQ13" i="74"/>
  <c r="DB13" i="74" s="1"/>
  <c r="CP19" i="74"/>
  <c r="DA19" i="74" s="1"/>
  <c r="CP13" i="74"/>
  <c r="DA13" i="74" s="1"/>
  <c r="CO9" i="74"/>
  <c r="CZ9" i="74" s="1"/>
  <c r="CO19" i="74"/>
  <c r="CZ19" i="74" s="1"/>
  <c r="CO21" i="74"/>
  <c r="CZ21" i="74" s="1"/>
  <c r="CP6" i="74"/>
  <c r="DA6" i="74" s="1"/>
  <c r="CQ7" i="74"/>
  <c r="DB7" i="74" s="1"/>
  <c r="CQ12" i="74"/>
  <c r="DB12" i="74" s="1"/>
  <c r="CO6" i="74"/>
  <c r="CZ6" i="74" s="1"/>
  <c r="CN7" i="74"/>
  <c r="CY7" i="74" s="1"/>
  <c r="CP12" i="74"/>
  <c r="DA12" i="74" s="1"/>
  <c r="CN6" i="74"/>
  <c r="CY6" i="74" s="1"/>
  <c r="CQ16" i="74"/>
  <c r="DB16" i="74" s="1"/>
  <c r="CN13" i="74"/>
  <c r="CY13" i="74" s="1"/>
  <c r="CQ5" i="74"/>
  <c r="DB5" i="74" s="1"/>
  <c r="CQ20" i="74"/>
  <c r="DB20" i="74" s="1"/>
  <c r="CN16" i="74"/>
  <c r="CY16" i="74" s="1"/>
  <c r="CP5" i="74"/>
  <c r="DA5" i="74" s="1"/>
  <c r="CQ18" i="74"/>
  <c r="DB18" i="74" s="1"/>
  <c r="CN9" i="74"/>
  <c r="CY9" i="74" s="1"/>
  <c r="CO5" i="74"/>
  <c r="CZ5" i="74" s="1"/>
  <c r="CP14" i="74"/>
  <c r="DA14" i="74" s="1"/>
  <c r="CQ17" i="74"/>
  <c r="DB17" i="74" s="1"/>
  <c r="CO15" i="74"/>
  <c r="CZ15" i="74" s="1"/>
  <c r="CN10" i="74"/>
  <c r="CY10" i="74" s="1"/>
  <c r="CO17" i="74"/>
  <c r="CZ17" i="74" s="1"/>
  <c r="CO18" i="74"/>
  <c r="CZ18" i="74" s="1"/>
  <c r="CN17" i="74"/>
  <c r="CY17" i="74" s="1"/>
  <c r="CP10" i="74"/>
  <c r="DA10" i="74" s="1"/>
  <c r="CO14" i="74"/>
  <c r="CZ14" i="74" s="1"/>
  <c r="CO13" i="74"/>
  <c r="CZ13" i="74" s="1"/>
  <c r="CO10" i="74"/>
  <c r="CZ10" i="74" s="1"/>
  <c r="CN14" i="74"/>
  <c r="CY14" i="74" s="1"/>
  <c r="CD4" i="74"/>
  <c r="CQ11" i="74"/>
  <c r="DB11" i="74" s="1"/>
  <c r="CO12" i="74"/>
  <c r="CZ12" i="74" s="1"/>
  <c r="CP18" i="74"/>
  <c r="DA18" i="74" s="1"/>
  <c r="CP11" i="74"/>
  <c r="DA11" i="74" s="1"/>
  <c r="CO11" i="74"/>
  <c r="CZ11" i="74" s="1"/>
  <c r="CI5" i="74"/>
  <c r="CT5" i="74" s="1"/>
  <c r="CM8" i="74"/>
  <c r="CX8" i="74" s="1"/>
  <c r="CL9" i="74"/>
  <c r="CW9" i="74" s="1"/>
  <c r="CI15" i="74"/>
  <c r="CT15" i="74" s="1"/>
  <c r="CJ15" i="74"/>
  <c r="CU15" i="74" s="1"/>
  <c r="CL19" i="74"/>
  <c r="CW19" i="74" s="1"/>
  <c r="CH18" i="74"/>
  <c r="CS18" i="74" s="1"/>
  <c r="CI11" i="74"/>
  <c r="CT11" i="74" s="1"/>
  <c r="CM20" i="74"/>
  <c r="CX20" i="74" s="1"/>
  <c r="CK19" i="74"/>
  <c r="CV19" i="74" s="1"/>
  <c r="CH11" i="74"/>
  <c r="CS11" i="74" s="1"/>
  <c r="CJ20" i="74"/>
  <c r="CU20" i="74" s="1"/>
  <c r="CL7" i="74"/>
  <c r="CW7" i="74" s="1"/>
  <c r="CH19" i="74"/>
  <c r="CL16" i="74"/>
  <c r="CW16" i="74" s="1"/>
  <c r="CM14" i="74"/>
  <c r="CX14" i="74" s="1"/>
  <c r="CM21" i="74"/>
  <c r="CX21" i="74" s="1"/>
  <c r="CI20" i="74"/>
  <c r="CT20" i="74" s="1"/>
  <c r="CK7" i="74"/>
  <c r="CV7" i="74" s="1"/>
  <c r="CL18" i="74"/>
  <c r="CW18" i="74" s="1"/>
  <c r="CJ17" i="74"/>
  <c r="CU17" i="74" s="1"/>
  <c r="CI14" i="74"/>
  <c r="CT14" i="74" s="1"/>
  <c r="CJ6" i="74"/>
  <c r="CU6" i="74" s="1"/>
  <c r="CK18" i="74"/>
  <c r="CV18" i="74" s="1"/>
  <c r="CI17" i="74"/>
  <c r="CT17" i="74" s="1"/>
  <c r="CH14" i="74"/>
  <c r="CS14" i="74" s="1"/>
  <c r="CM12" i="74"/>
  <c r="CX12" i="74" s="1"/>
  <c r="CI6" i="74"/>
  <c r="CT6" i="74" s="1"/>
  <c r="CM5" i="74"/>
  <c r="CX5" i="74" s="1"/>
  <c r="CL20" i="74"/>
  <c r="CW20" i="74" s="1"/>
  <c r="CJ18" i="74"/>
  <c r="CU18" i="74" s="1"/>
  <c r="CH17" i="74"/>
  <c r="CS17" i="74" s="1"/>
  <c r="CL12" i="74"/>
  <c r="CW12" i="74" s="1"/>
  <c r="CH6" i="74"/>
  <c r="CK20" i="74"/>
  <c r="CV20" i="74" s="1"/>
  <c r="CI18" i="74"/>
  <c r="CT18" i="74" s="1"/>
  <c r="CH20" i="74"/>
  <c r="CI19" i="74"/>
  <c r="CT19" i="74" s="1"/>
  <c r="CH10" i="74"/>
  <c r="CK14" i="74"/>
  <c r="CV14" i="74" s="1"/>
  <c r="CL21" i="74"/>
  <c r="CW21" i="74" s="1"/>
  <c r="CJ14" i="74"/>
  <c r="CU14" i="74" s="1"/>
  <c r="CK21" i="74"/>
  <c r="CV21" i="74" s="1"/>
  <c r="CJ21" i="74"/>
  <c r="CU21" i="74" s="1"/>
  <c r="CM7" i="74"/>
  <c r="CX7" i="74" s="1"/>
  <c r="CJ19" i="74"/>
  <c r="CU19" i="74" s="1"/>
  <c r="CM11" i="74"/>
  <c r="CX11" i="74" s="1"/>
  <c r="CL11" i="74"/>
  <c r="CW11" i="74" s="1"/>
  <c r="CM13" i="74"/>
  <c r="CX13" i="74" s="1"/>
  <c r="CM9" i="74"/>
  <c r="CX9" i="74" s="1"/>
  <c r="CK16" i="74"/>
  <c r="CV16" i="74" s="1"/>
  <c r="CJ11" i="74"/>
  <c r="CU11" i="74" s="1"/>
  <c r="CM16" i="74"/>
  <c r="CX16" i="74" s="1"/>
  <c r="CK11" i="74"/>
  <c r="CV11" i="74" s="1"/>
  <c r="CL13" i="74"/>
  <c r="CW13" i="74" s="1"/>
  <c r="CK13" i="74"/>
  <c r="CV13" i="74" s="1"/>
  <c r="CL5" i="74"/>
  <c r="CW5" i="74" s="1"/>
  <c r="CE4" i="74"/>
  <c r="CH12" i="74"/>
  <c r="CJ9" i="74"/>
  <c r="CU9" i="74" s="1"/>
  <c r="CI16" i="74"/>
  <c r="CT16" i="74" s="1"/>
  <c r="CI9" i="74"/>
  <c r="CT9" i="74" s="1"/>
  <c r="CH16" i="74"/>
  <c r="CJ12" i="74"/>
  <c r="CU12" i="74" s="1"/>
  <c r="CH9" i="74"/>
  <c r="CS9" i="74" s="1"/>
  <c r="CK12" i="74"/>
  <c r="CV12" i="74" s="1"/>
  <c r="CJ10" i="74"/>
  <c r="CU10" i="74" s="1"/>
  <c r="CJ7" i="74"/>
  <c r="CU7" i="74" s="1"/>
  <c r="CM17" i="74"/>
  <c r="CX17" i="74" s="1"/>
  <c r="CJ13" i="74"/>
  <c r="CU13" i="74" s="1"/>
  <c r="CI7" i="74"/>
  <c r="CT7" i="74" s="1"/>
  <c r="CL17" i="74"/>
  <c r="CW17" i="74" s="1"/>
  <c r="CM10" i="74"/>
  <c r="CX10" i="74" s="1"/>
  <c r="CL14" i="74"/>
  <c r="CW14" i="74" s="1"/>
  <c r="CI13" i="74"/>
  <c r="CT13" i="74" s="1"/>
  <c r="CH7" i="74"/>
  <c r="CS7" i="74" s="1"/>
  <c r="CK17" i="74"/>
  <c r="CV17" i="74" s="1"/>
  <c r="CL10" i="74"/>
  <c r="CW10" i="74" s="1"/>
  <c r="CH13" i="74"/>
  <c r="CK10" i="74"/>
  <c r="CV10" i="74" s="1"/>
  <c r="CQ6" i="74"/>
  <c r="DB6" i="74" s="1"/>
  <c r="CH5" i="74"/>
  <c r="CS5" i="74" s="1"/>
  <c r="CK9" i="74"/>
  <c r="CV9" i="74" s="1"/>
  <c r="CM19" i="74"/>
  <c r="CX19" i="74" s="1"/>
  <c r="CI12" i="74"/>
  <c r="CT12" i="74" s="1"/>
  <c r="CN19" i="74"/>
  <c r="CY19" i="74" s="1"/>
  <c r="CQ15" i="74"/>
  <c r="DB15" i="74" s="1"/>
  <c r="DD14" i="74"/>
  <c r="DD16" i="74"/>
  <c r="DD10" i="74"/>
  <c r="DD17" i="74"/>
  <c r="CL15" i="74"/>
  <c r="CW15" i="74" s="1"/>
  <c r="CK15" i="74"/>
  <c r="CV15" i="74" s="1"/>
  <c r="CH15" i="74"/>
  <c r="DD6" i="74"/>
  <c r="DD15" i="74"/>
  <c r="CQ9" i="74"/>
  <c r="DB9" i="74" s="1"/>
  <c r="DD11" i="74"/>
  <c r="CP8" i="74"/>
  <c r="DA8" i="74" s="1"/>
  <c r="CO8" i="74"/>
  <c r="CZ8" i="74" s="1"/>
  <c r="CL8" i="74"/>
  <c r="CW8" i="74" s="1"/>
  <c r="CK8" i="74"/>
  <c r="CV8" i="74" s="1"/>
  <c r="CJ8" i="74"/>
  <c r="CU8" i="74" s="1"/>
  <c r="CI8" i="74"/>
  <c r="CT8" i="74" s="1"/>
  <c r="CP9" i="74"/>
  <c r="DA9" i="74" s="1"/>
  <c r="CK10" i="38"/>
  <c r="CV10" i="38" s="1"/>
  <c r="CN10" i="38"/>
  <c r="CY10" i="38" s="1"/>
  <c r="CJ6" i="38"/>
  <c r="CU6" i="38" s="1"/>
  <c r="CI21" i="38"/>
  <c r="CT21" i="38" s="1"/>
  <c r="CZ10" i="38"/>
  <c r="DD23" i="38"/>
  <c r="CN33" i="38"/>
  <c r="CY33" i="38" s="1"/>
  <c r="CN29" i="38"/>
  <c r="CY29" i="38" s="1"/>
  <c r="CP25" i="38"/>
  <c r="DA25" i="38" s="1"/>
  <c r="CP21" i="38"/>
  <c r="DA21" i="38" s="1"/>
  <c r="CQ17" i="38"/>
  <c r="DB17" i="38" s="1"/>
  <c r="CP34" i="38"/>
  <c r="DA34" i="38" s="1"/>
  <c r="CP30" i="38"/>
  <c r="DA30" i="38" s="1"/>
  <c r="CN25" i="38"/>
  <c r="CY25" i="38" s="1"/>
  <c r="CO34" i="38"/>
  <c r="CZ34" i="38" s="1"/>
  <c r="CO30" i="38"/>
  <c r="CZ30" i="38" s="1"/>
  <c r="CN34" i="38"/>
  <c r="CY34" i="38" s="1"/>
  <c r="CN30" i="38"/>
  <c r="CY30" i="38" s="1"/>
  <c r="CP22" i="38"/>
  <c r="DA22" i="38" s="1"/>
  <c r="CQ31" i="38"/>
  <c r="DB31" i="38" s="1"/>
  <c r="CO22" i="38"/>
  <c r="CZ22" i="38" s="1"/>
  <c r="CP18" i="38"/>
  <c r="DA18" i="38" s="1"/>
  <c r="CP33" i="38"/>
  <c r="DA33" i="38" s="1"/>
  <c r="CQ6" i="38"/>
  <c r="DB6" i="38" s="1"/>
  <c r="CO33" i="38"/>
  <c r="CZ33" i="38" s="1"/>
  <c r="CQ27" i="38"/>
  <c r="DB27" i="38" s="1"/>
  <c r="CQ24" i="38"/>
  <c r="DB24" i="38" s="1"/>
  <c r="CP24" i="38"/>
  <c r="DA24" i="38" s="1"/>
  <c r="CP19" i="38"/>
  <c r="DA19" i="38" s="1"/>
  <c r="CQ32" i="38"/>
  <c r="DB32" i="38" s="1"/>
  <c r="CO24" i="38"/>
  <c r="CZ24" i="38" s="1"/>
  <c r="CO19" i="38"/>
  <c r="CZ19" i="38" s="1"/>
  <c r="CP32" i="38"/>
  <c r="DA32" i="38" s="1"/>
  <c r="CQ29" i="38"/>
  <c r="DB29" i="38" s="1"/>
  <c r="CN24" i="38"/>
  <c r="CY24" i="38" s="1"/>
  <c r="CN19" i="38"/>
  <c r="CY19" i="38" s="1"/>
  <c r="CQ18" i="38"/>
  <c r="DB18" i="38" s="1"/>
  <c r="CQ14" i="38"/>
  <c r="DB14" i="38" s="1"/>
  <c r="CO15" i="38"/>
  <c r="CZ15" i="38" s="1"/>
  <c r="CQ5" i="38"/>
  <c r="DB5" i="38" s="1"/>
  <c r="CQ33" i="38"/>
  <c r="DB33" i="38" s="1"/>
  <c r="CQ30" i="38"/>
  <c r="DB30" i="38" s="1"/>
  <c r="CO16" i="38"/>
  <c r="CZ16" i="38" s="1"/>
  <c r="CN14" i="38"/>
  <c r="CY14" i="38" s="1"/>
  <c r="CN5" i="38"/>
  <c r="CY5" i="38" s="1"/>
  <c r="CO32" i="38"/>
  <c r="CZ32" i="38" s="1"/>
  <c r="CN16" i="38"/>
  <c r="CY16" i="38" s="1"/>
  <c r="CP17" i="38"/>
  <c r="DA17" i="38" s="1"/>
  <c r="CQ20" i="38"/>
  <c r="DB20" i="38" s="1"/>
  <c r="CO17" i="38"/>
  <c r="CZ17" i="38" s="1"/>
  <c r="CQ16" i="38"/>
  <c r="DB16" i="38" s="1"/>
  <c r="CO23" i="38"/>
  <c r="CZ23" i="38" s="1"/>
  <c r="CN15" i="38"/>
  <c r="CY15" i="38" s="1"/>
  <c r="CP10" i="38"/>
  <c r="DA10" i="38" s="1"/>
  <c r="CN23" i="38"/>
  <c r="CY23" i="38" s="1"/>
  <c r="CQ34" i="38"/>
  <c r="DB34" i="38" s="1"/>
  <c r="CP20" i="38"/>
  <c r="DA20" i="38" s="1"/>
  <c r="CN17" i="38"/>
  <c r="CY17" i="38" s="1"/>
  <c r="CP16" i="38"/>
  <c r="DA16" i="38" s="1"/>
  <c r="CQ25" i="38"/>
  <c r="DB25" i="38" s="1"/>
  <c r="CQ22" i="38"/>
  <c r="DB22" i="38" s="1"/>
  <c r="CO20" i="38"/>
  <c r="CZ20" i="38" s="1"/>
  <c r="CQ10" i="38"/>
  <c r="DB10" i="38" s="1"/>
  <c r="CP29" i="38"/>
  <c r="DA29" i="38" s="1"/>
  <c r="CO25" i="38"/>
  <c r="CZ25" i="38" s="1"/>
  <c r="CQ23" i="38"/>
  <c r="DB23" i="38" s="1"/>
  <c r="CN22" i="38"/>
  <c r="CY22" i="38" s="1"/>
  <c r="CO18" i="38"/>
  <c r="CZ18" i="38" s="1"/>
  <c r="CQ15" i="38"/>
  <c r="DB15" i="38" s="1"/>
  <c r="CD4" i="38"/>
  <c r="CO29" i="38"/>
  <c r="CZ29" i="38" s="1"/>
  <c r="CP23" i="38"/>
  <c r="DA23" i="38" s="1"/>
  <c r="CN18" i="38"/>
  <c r="CY18" i="38" s="1"/>
  <c r="CP15" i="38"/>
  <c r="DA15" i="38" s="1"/>
  <c r="CP31" i="38"/>
  <c r="DA31" i="38" s="1"/>
  <c r="CQ21" i="38"/>
  <c r="DB21" i="38" s="1"/>
  <c r="CP13" i="38"/>
  <c r="DA13" i="38" s="1"/>
  <c r="CP6" i="38"/>
  <c r="DA6" i="38" s="1"/>
  <c r="CO5" i="38"/>
  <c r="CZ5" i="38" s="1"/>
  <c r="CN21" i="38"/>
  <c r="CY21" i="38" s="1"/>
  <c r="CJ22" i="38"/>
  <c r="CU22" i="38" s="1"/>
  <c r="CJ32" i="38"/>
  <c r="CU32" i="38" s="1"/>
  <c r="CL24" i="38"/>
  <c r="CW24" i="38" s="1"/>
  <c r="CH23" i="38"/>
  <c r="CS23" i="38" s="1"/>
  <c r="CI19" i="38"/>
  <c r="CT19" i="38" s="1"/>
  <c r="CL33" i="38"/>
  <c r="CW33" i="38" s="1"/>
  <c r="CH32" i="38"/>
  <c r="CL29" i="38"/>
  <c r="CW29" i="38" s="1"/>
  <c r="CJ24" i="38"/>
  <c r="CU24" i="38" s="1"/>
  <c r="CK33" i="38"/>
  <c r="CV33" i="38" s="1"/>
  <c r="CK29" i="38"/>
  <c r="CV29" i="38" s="1"/>
  <c r="CJ33" i="38"/>
  <c r="CU33" i="38" s="1"/>
  <c r="CJ29" i="38"/>
  <c r="CU29" i="38" s="1"/>
  <c r="CL25" i="38"/>
  <c r="CW25" i="38" s="1"/>
  <c r="CH24" i="38"/>
  <c r="CM34" i="38"/>
  <c r="CX34" i="38" s="1"/>
  <c r="CI33" i="38"/>
  <c r="CT33" i="38" s="1"/>
  <c r="CM30" i="38"/>
  <c r="CX30" i="38" s="1"/>
  <c r="CI29" i="38"/>
  <c r="CT29" i="38" s="1"/>
  <c r="CK25" i="38"/>
  <c r="CV25" i="38" s="1"/>
  <c r="CK21" i="38"/>
  <c r="CV21" i="38" s="1"/>
  <c r="CL17" i="38"/>
  <c r="CW17" i="38" s="1"/>
  <c r="CH31" i="38"/>
  <c r="CS31" i="38" s="1"/>
  <c r="CK30" i="38"/>
  <c r="CV30" i="38" s="1"/>
  <c r="CK23" i="38"/>
  <c r="CV23" i="38" s="1"/>
  <c r="CJ21" i="38"/>
  <c r="CU21" i="38" s="1"/>
  <c r="CM16" i="38"/>
  <c r="CX16" i="38" s="1"/>
  <c r="CI15" i="38"/>
  <c r="CT15" i="38" s="1"/>
  <c r="CI13" i="38"/>
  <c r="CT13" i="38" s="1"/>
  <c r="CM10" i="38"/>
  <c r="CX10" i="38" s="1"/>
  <c r="CJ30" i="38"/>
  <c r="CU30" i="38" s="1"/>
  <c r="CJ23" i="38"/>
  <c r="CU23" i="38" s="1"/>
  <c r="CM33" i="38"/>
  <c r="CX33" i="38" s="1"/>
  <c r="CI30" i="38"/>
  <c r="CT30" i="38" s="1"/>
  <c r="CI23" i="38"/>
  <c r="CT23" i="38" s="1"/>
  <c r="CH21" i="38"/>
  <c r="CK20" i="38"/>
  <c r="CV20" i="38" s="1"/>
  <c r="CK16" i="38"/>
  <c r="CV16" i="38" s="1"/>
  <c r="CH33" i="38"/>
  <c r="CH30" i="38"/>
  <c r="CJ20" i="38"/>
  <c r="CU20" i="38" s="1"/>
  <c r="CI20" i="38"/>
  <c r="CT20" i="38" s="1"/>
  <c r="CI16" i="38"/>
  <c r="CT16" i="38" s="1"/>
  <c r="CJ31" i="38"/>
  <c r="CU31" i="38" s="1"/>
  <c r="CH25" i="38"/>
  <c r="CM23" i="38"/>
  <c r="CX23" i="38" s="1"/>
  <c r="CM19" i="38"/>
  <c r="CX19" i="38" s="1"/>
  <c r="CM13" i="38"/>
  <c r="CX13" i="38" s="1"/>
  <c r="CI31" i="38"/>
  <c r="CT31" i="38" s="1"/>
  <c r="CL23" i="38"/>
  <c r="CW23" i="38" s="1"/>
  <c r="CJ19" i="38"/>
  <c r="CU19" i="38" s="1"/>
  <c r="CM18" i="38"/>
  <c r="CX18" i="38" s="1"/>
  <c r="CL15" i="38"/>
  <c r="CW15" i="38" s="1"/>
  <c r="CJ13" i="38"/>
  <c r="CU13" i="38" s="1"/>
  <c r="CL30" i="38"/>
  <c r="CW30" i="38" s="1"/>
  <c r="CM24" i="38"/>
  <c r="CX24" i="38" s="1"/>
  <c r="CH19" i="38"/>
  <c r="CL18" i="38"/>
  <c r="CW18" i="38" s="1"/>
  <c r="CK15" i="38"/>
  <c r="CV15" i="38" s="1"/>
  <c r="CM14" i="38"/>
  <c r="CX14" i="38" s="1"/>
  <c r="CH13" i="38"/>
  <c r="CS13" i="38" s="1"/>
  <c r="CM5" i="38"/>
  <c r="CX5" i="38" s="1"/>
  <c r="CH14" i="38"/>
  <c r="CI6" i="38"/>
  <c r="CT6" i="38" s="1"/>
  <c r="CM27" i="38"/>
  <c r="CX27" i="38" s="1"/>
  <c r="CH6" i="38"/>
  <c r="CI17" i="38"/>
  <c r="CT17" i="38" s="1"/>
  <c r="CH29" i="38"/>
  <c r="CH17" i="38"/>
  <c r="CL22" i="38"/>
  <c r="CW22" i="38" s="1"/>
  <c r="CK22" i="38"/>
  <c r="CV22" i="38" s="1"/>
  <c r="CL27" i="38"/>
  <c r="CW27" i="38" s="1"/>
  <c r="CL34" i="38"/>
  <c r="CW34" i="38" s="1"/>
  <c r="CK27" i="38"/>
  <c r="CV27" i="38" s="1"/>
  <c r="CM17" i="38"/>
  <c r="CX17" i="38" s="1"/>
  <c r="CL16" i="38"/>
  <c r="CW16" i="38" s="1"/>
  <c r="CE4" i="38"/>
  <c r="CJ34" i="38"/>
  <c r="CU34" i="38" s="1"/>
  <c r="CI34" i="38"/>
  <c r="CT34" i="38" s="1"/>
  <c r="CH27" i="38"/>
  <c r="CS27" i="38" s="1"/>
  <c r="CI25" i="38"/>
  <c r="CT25" i="38" s="1"/>
  <c r="CJ18" i="38"/>
  <c r="CU18" i="38" s="1"/>
  <c r="CK34" i="38"/>
  <c r="CV34" i="38" s="1"/>
  <c r="CJ27" i="38"/>
  <c r="CU27" i="38" s="1"/>
  <c r="CK24" i="38"/>
  <c r="CV24" i="38" s="1"/>
  <c r="CM20" i="38"/>
  <c r="CX20" i="38" s="1"/>
  <c r="CK17" i="38"/>
  <c r="CV17" i="38" s="1"/>
  <c r="CJ16" i="38"/>
  <c r="CU16" i="38" s="1"/>
  <c r="CI27" i="38"/>
  <c r="CT27" i="38" s="1"/>
  <c r="CM25" i="38"/>
  <c r="CX25" i="38" s="1"/>
  <c r="CI24" i="38"/>
  <c r="CT24" i="38" s="1"/>
  <c r="CM22" i="38"/>
  <c r="CX22" i="38" s="1"/>
  <c r="CH20" i="38"/>
  <c r="CJ17" i="38"/>
  <c r="CU17" i="38" s="1"/>
  <c r="CH16" i="38"/>
  <c r="CM29" i="38"/>
  <c r="CX29" i="38" s="1"/>
  <c r="CJ25" i="38"/>
  <c r="CU25" i="38" s="1"/>
  <c r="CK18" i="38"/>
  <c r="CV18" i="38" s="1"/>
  <c r="CH34" i="38"/>
  <c r="CI22" i="38"/>
  <c r="CT22" i="38" s="1"/>
  <c r="CH18" i="38"/>
  <c r="CH15" i="38"/>
  <c r="CS15" i="38" s="1"/>
  <c r="CL10" i="38"/>
  <c r="CW10" i="38" s="1"/>
  <c r="CH5" i="38"/>
  <c r="CS5" i="38" s="1"/>
  <c r="CL6" i="38"/>
  <c r="CW6" i="38" s="1"/>
  <c r="CV13" i="38"/>
  <c r="CN13" i="38"/>
  <c r="CY13" i="38" s="1"/>
  <c r="CK31" i="38"/>
  <c r="CV31" i="38" s="1"/>
  <c r="CI5" i="38"/>
  <c r="CT5" i="38" s="1"/>
  <c r="CL31" i="38"/>
  <c r="CW31" i="38" s="1"/>
  <c r="CI32" i="38"/>
  <c r="CT32" i="38" s="1"/>
  <c r="CJ5" i="38"/>
  <c r="CU5" i="38" s="1"/>
  <c r="CN6" i="38"/>
  <c r="CY6" i="38" s="1"/>
  <c r="CQ13" i="38"/>
  <c r="DB13" i="38" s="1"/>
  <c r="CM15" i="38"/>
  <c r="CX15" i="38" s="1"/>
  <c r="CI18" i="38"/>
  <c r="CT18" i="38" s="1"/>
  <c r="CM31" i="38"/>
  <c r="CX31" i="38" s="1"/>
  <c r="CK32" i="38"/>
  <c r="CV32" i="38" s="1"/>
  <c r="CK5" i="38"/>
  <c r="CV5" i="38" s="1"/>
  <c r="CO6" i="38"/>
  <c r="CZ6" i="38" s="1"/>
  <c r="DD17" i="38"/>
  <c r="CP26" i="38"/>
  <c r="DA26" i="38" s="1"/>
  <c r="CO26" i="38"/>
  <c r="CZ26" i="38" s="1"/>
  <c r="CL26" i="38"/>
  <c r="CW26" i="38" s="1"/>
  <c r="CK26" i="38"/>
  <c r="CV26" i="38" s="1"/>
  <c r="CJ26" i="38"/>
  <c r="CU26" i="38" s="1"/>
  <c r="CI26" i="38"/>
  <c r="CT26" i="38" s="1"/>
  <c r="CH26" i="38"/>
  <c r="CQ26" i="38"/>
  <c r="DB26" i="38" s="1"/>
  <c r="CN26" i="38"/>
  <c r="CY26" i="38" s="1"/>
  <c r="CM26" i="38"/>
  <c r="CX26" i="38" s="1"/>
  <c r="CJ11" i="38"/>
  <c r="CU11" i="38" s="1"/>
  <c r="CH11" i="38"/>
  <c r="CS11" i="38" s="1"/>
  <c r="CN11" i="38"/>
  <c r="CY11" i="38" s="1"/>
  <c r="CM11" i="38"/>
  <c r="CX11" i="38" s="1"/>
  <c r="CK11" i="38"/>
  <c r="CV11" i="38" s="1"/>
  <c r="CI11" i="38"/>
  <c r="CT11" i="38" s="1"/>
  <c r="CL11" i="38"/>
  <c r="CW11" i="38" s="1"/>
  <c r="CQ11" i="38"/>
  <c r="DB11" i="38" s="1"/>
  <c r="CP11" i="38"/>
  <c r="DA11" i="38" s="1"/>
  <c r="CO11" i="38"/>
  <c r="CZ11" i="38" s="1"/>
  <c r="CN31" i="38"/>
  <c r="CY31" i="38" s="1"/>
  <c r="CL32" i="38"/>
  <c r="CW32" i="38" s="1"/>
  <c r="CL5" i="38"/>
  <c r="CW5" i="38" s="1"/>
  <c r="DD13" i="38"/>
  <c r="CI14" i="38"/>
  <c r="CT14" i="38" s="1"/>
  <c r="CK19" i="38"/>
  <c r="CV19" i="38" s="1"/>
  <c r="DD11" i="38"/>
  <c r="CO31" i="38"/>
  <c r="CZ31" i="38" s="1"/>
  <c r="CM32" i="38"/>
  <c r="CX32" i="38" s="1"/>
  <c r="CL13" i="38"/>
  <c r="CW13" i="38" s="1"/>
  <c r="CO21" i="38"/>
  <c r="CZ21" i="38" s="1"/>
  <c r="CK6" i="38"/>
  <c r="CV6" i="38" s="1"/>
  <c r="CL19" i="38"/>
  <c r="CW19" i="38" s="1"/>
  <c r="CK14" i="38"/>
  <c r="CV14" i="38" s="1"/>
  <c r="CQ19" i="38"/>
  <c r="DB19" i="38" s="1"/>
  <c r="DD5" i="38"/>
  <c r="CM6" i="38"/>
  <c r="CX6" i="38" s="1"/>
  <c r="CO13" i="38"/>
  <c r="CZ13" i="38" s="1"/>
  <c r="CJ15" i="38"/>
  <c r="CU15" i="38" s="1"/>
  <c r="CP5" i="38"/>
  <c r="DA5" i="38" s="1"/>
  <c r="CJ14" i="38"/>
  <c r="CU14" i="38" s="1"/>
  <c r="DD20" i="38"/>
  <c r="CN32" i="38"/>
  <c r="CY32" i="38" s="1"/>
  <c r="CU10" i="38"/>
  <c r="CH10" i="38"/>
  <c r="CL14" i="38"/>
  <c r="CW14" i="38" s="1"/>
  <c r="DD21" i="38"/>
  <c r="DD15" i="38"/>
  <c r="CP27" i="38"/>
  <c r="DA27" i="38" s="1"/>
  <c r="DD22" i="38"/>
  <c r="CN27" i="38"/>
  <c r="CY27" i="38" s="1"/>
  <c r="CO27" i="38"/>
  <c r="CZ27" i="38" s="1"/>
  <c r="CL20" i="38"/>
  <c r="CW20" i="38" s="1"/>
  <c r="CN20" i="38"/>
  <c r="CY20" i="38" s="1"/>
  <c r="DD12" i="73"/>
  <c r="DA12" i="73"/>
  <c r="DB12" i="73"/>
  <c r="CI12" i="73"/>
  <c r="CT12" i="73" s="1"/>
  <c r="CL12" i="73"/>
  <c r="CW12" i="73" s="1"/>
  <c r="DD21" i="73"/>
  <c r="DD22" i="73"/>
  <c r="CI20" i="73"/>
  <c r="CT20" i="73" s="1"/>
  <c r="CP27" i="73"/>
  <c r="DA27" i="73" s="1"/>
  <c r="DD30" i="73"/>
  <c r="CQ31" i="73"/>
  <c r="DB31" i="73" s="1"/>
  <c r="CP32" i="73"/>
  <c r="DA32" i="73" s="1"/>
  <c r="CN23" i="73"/>
  <c r="CY23" i="73" s="1"/>
  <c r="CO19" i="73"/>
  <c r="CZ19" i="73" s="1"/>
  <c r="CN32" i="73"/>
  <c r="CY32" i="73" s="1"/>
  <c r="CQ33" i="73"/>
  <c r="DB33" i="73" s="1"/>
  <c r="CP33" i="73"/>
  <c r="DA33" i="73" s="1"/>
  <c r="CP29" i="73"/>
  <c r="DA29" i="73" s="1"/>
  <c r="CN24" i="73"/>
  <c r="CY24" i="73" s="1"/>
  <c r="CP15" i="73"/>
  <c r="DA15" i="73" s="1"/>
  <c r="CO15" i="73"/>
  <c r="CZ15" i="73" s="1"/>
  <c r="CQ25" i="73"/>
  <c r="DB25" i="73" s="1"/>
  <c r="CN15" i="73"/>
  <c r="CY15" i="73" s="1"/>
  <c r="CQ32" i="73"/>
  <c r="DB32" i="73" s="1"/>
  <c r="CP25" i="73"/>
  <c r="DA25" i="73" s="1"/>
  <c r="CQ24" i="73"/>
  <c r="DB24" i="73" s="1"/>
  <c r="CQ16" i="73"/>
  <c r="DB16" i="73" s="1"/>
  <c r="CO32" i="73"/>
  <c r="CZ32" i="73" s="1"/>
  <c r="CO25" i="73"/>
  <c r="CZ25" i="73" s="1"/>
  <c r="CP24" i="73"/>
  <c r="DA24" i="73" s="1"/>
  <c r="CQ19" i="73"/>
  <c r="DB19" i="73" s="1"/>
  <c r="CP16" i="73"/>
  <c r="DA16" i="73" s="1"/>
  <c r="CN25" i="73"/>
  <c r="CY25" i="73" s="1"/>
  <c r="CO24" i="73"/>
  <c r="CZ24" i="73" s="1"/>
  <c r="CP19" i="73"/>
  <c r="DA19" i="73" s="1"/>
  <c r="CO16" i="73"/>
  <c r="CZ16" i="73" s="1"/>
  <c r="CQ34" i="73"/>
  <c r="DB34" i="73" s="1"/>
  <c r="CO31" i="73"/>
  <c r="CZ31" i="73" s="1"/>
  <c r="CO29" i="73"/>
  <c r="CZ29" i="73" s="1"/>
  <c r="CN27" i="73"/>
  <c r="CY27" i="73" s="1"/>
  <c r="CO23" i="73"/>
  <c r="CZ23" i="73" s="1"/>
  <c r="CO18" i="73"/>
  <c r="CZ18" i="73" s="1"/>
  <c r="CO27" i="73"/>
  <c r="CZ27" i="73" s="1"/>
  <c r="CN16" i="73"/>
  <c r="CY16" i="73" s="1"/>
  <c r="CO12" i="73"/>
  <c r="CZ12" i="73" s="1"/>
  <c r="CN19" i="73"/>
  <c r="CY19" i="73" s="1"/>
  <c r="CQ17" i="73"/>
  <c r="DB17" i="73" s="1"/>
  <c r="CN12" i="73"/>
  <c r="CY12" i="73" s="1"/>
  <c r="CQ5" i="73"/>
  <c r="DB5" i="73" s="1"/>
  <c r="CQ30" i="73"/>
  <c r="DB30" i="73" s="1"/>
  <c r="CP17" i="73"/>
  <c r="DA17" i="73" s="1"/>
  <c r="CQ15" i="73"/>
  <c r="DB15" i="73" s="1"/>
  <c r="CQ14" i="73"/>
  <c r="DB14" i="73" s="1"/>
  <c r="CN31" i="73"/>
  <c r="CY31" i="73" s="1"/>
  <c r="CO30" i="73"/>
  <c r="CZ30" i="73" s="1"/>
  <c r="CO26" i="73"/>
  <c r="CZ26" i="73" s="1"/>
  <c r="CP21" i="73"/>
  <c r="DA21" i="73" s="1"/>
  <c r="CN17" i="73"/>
  <c r="CY17" i="73" s="1"/>
  <c r="CO14" i="73"/>
  <c r="CN5" i="73"/>
  <c r="CY5" i="73" s="1"/>
  <c r="CP34" i="73"/>
  <c r="DA34" i="73" s="1"/>
  <c r="CO33" i="73"/>
  <c r="CZ33" i="73" s="1"/>
  <c r="CN30" i="73"/>
  <c r="CY30" i="73" s="1"/>
  <c r="CN26" i="73"/>
  <c r="CY26" i="73" s="1"/>
  <c r="CO21" i="73"/>
  <c r="CZ21" i="73" s="1"/>
  <c r="CN14" i="73"/>
  <c r="CY14" i="73" s="1"/>
  <c r="CP30" i="73"/>
  <c r="DA30" i="73" s="1"/>
  <c r="CQ21" i="73"/>
  <c r="DB21" i="73" s="1"/>
  <c r="CO13" i="73"/>
  <c r="CZ13" i="73" s="1"/>
  <c r="CQ28" i="73"/>
  <c r="DB28" i="73" s="1"/>
  <c r="CN21" i="73"/>
  <c r="CY21" i="73" s="1"/>
  <c r="CN13" i="73"/>
  <c r="CY13" i="73" s="1"/>
  <c r="CP18" i="73"/>
  <c r="DA18" i="73" s="1"/>
  <c r="CN18" i="73"/>
  <c r="CY18" i="73" s="1"/>
  <c r="CQ22" i="73"/>
  <c r="DB22" i="73" s="1"/>
  <c r="CP14" i="73"/>
  <c r="DA14" i="73" s="1"/>
  <c r="CD4" i="73"/>
  <c r="CP22" i="73"/>
  <c r="DA22" i="73" s="1"/>
  <c r="CH23" i="73"/>
  <c r="CM34" i="73"/>
  <c r="CX34" i="73" s="1"/>
  <c r="CI33" i="73"/>
  <c r="CT33" i="73" s="1"/>
  <c r="CM30" i="73"/>
  <c r="CX30" i="73" s="1"/>
  <c r="CH34" i="73"/>
  <c r="CS34" i="73" s="1"/>
  <c r="CL31" i="73"/>
  <c r="CW31" i="73" s="1"/>
  <c r="CH30" i="73"/>
  <c r="CJ22" i="73"/>
  <c r="CU22" i="73" s="1"/>
  <c r="CK18" i="73"/>
  <c r="CV18" i="73" s="1"/>
  <c r="CJ31" i="73"/>
  <c r="CU31" i="73" s="1"/>
  <c r="CK27" i="73"/>
  <c r="CV27" i="73" s="1"/>
  <c r="CM32" i="73"/>
  <c r="CX32" i="73" s="1"/>
  <c r="CI31" i="73"/>
  <c r="CT31" i="73" s="1"/>
  <c r="CL32" i="73"/>
  <c r="CW32" i="73" s="1"/>
  <c r="CH31" i="73"/>
  <c r="CJ23" i="73"/>
  <c r="CU23" i="73" s="1"/>
  <c r="CK19" i="73"/>
  <c r="CV19" i="73" s="1"/>
  <c r="CI34" i="73"/>
  <c r="CT34" i="73" s="1"/>
  <c r="CM33" i="73"/>
  <c r="CX33" i="73" s="1"/>
  <c r="CK30" i="73"/>
  <c r="CV30" i="73" s="1"/>
  <c r="CH29" i="73"/>
  <c r="CS29" i="73" s="1"/>
  <c r="CK22" i="73"/>
  <c r="CV22" i="73" s="1"/>
  <c r="CM21" i="73"/>
  <c r="CX21" i="73" s="1"/>
  <c r="CK17" i="73"/>
  <c r="CV17" i="73" s="1"/>
  <c r="CL14" i="73"/>
  <c r="CW14" i="73" s="1"/>
  <c r="CL33" i="73"/>
  <c r="CW33" i="73" s="1"/>
  <c r="CJ30" i="73"/>
  <c r="CU30" i="73" s="1"/>
  <c r="CI22" i="73"/>
  <c r="CT22" i="73" s="1"/>
  <c r="CL21" i="73"/>
  <c r="CW21" i="73" s="1"/>
  <c r="CJ17" i="73"/>
  <c r="CU17" i="73" s="1"/>
  <c r="CK14" i="73"/>
  <c r="CV14" i="73" s="1"/>
  <c r="CK33" i="73"/>
  <c r="CV33" i="73" s="1"/>
  <c r="CI30" i="73"/>
  <c r="CT30" i="73" s="1"/>
  <c r="CH22" i="73"/>
  <c r="CS22" i="73" s="1"/>
  <c r="CK21" i="73"/>
  <c r="CV21" i="73" s="1"/>
  <c r="CI17" i="73"/>
  <c r="CT17" i="73" s="1"/>
  <c r="CJ14" i="73"/>
  <c r="CU14" i="73" s="1"/>
  <c r="CJ33" i="73"/>
  <c r="CU33" i="73" s="1"/>
  <c r="CJ21" i="73"/>
  <c r="CU21" i="73" s="1"/>
  <c r="CL20" i="73"/>
  <c r="CW20" i="73" s="1"/>
  <c r="CH17" i="73"/>
  <c r="CS17" i="73" s="1"/>
  <c r="CM15" i="73"/>
  <c r="CX15" i="73" s="1"/>
  <c r="CI14" i="73"/>
  <c r="CT14" i="73" s="1"/>
  <c r="CH33" i="73"/>
  <c r="CI21" i="73"/>
  <c r="CT21" i="73" s="1"/>
  <c r="CL15" i="73"/>
  <c r="CW15" i="73" s="1"/>
  <c r="CH14" i="73"/>
  <c r="CK32" i="73"/>
  <c r="CV32" i="73" s="1"/>
  <c r="CH21" i="73"/>
  <c r="CR21" i="73" s="1"/>
  <c r="CK15" i="73"/>
  <c r="CV15" i="73" s="1"/>
  <c r="CM26" i="73"/>
  <c r="CX26" i="73" s="1"/>
  <c r="CJ25" i="73"/>
  <c r="CU25" i="73" s="1"/>
  <c r="CJ24" i="73"/>
  <c r="CU24" i="73" s="1"/>
  <c r="CJ19" i="73"/>
  <c r="CU19" i="73" s="1"/>
  <c r="CL24" i="73"/>
  <c r="CW24" i="73" s="1"/>
  <c r="CM22" i="73"/>
  <c r="CX22" i="73" s="1"/>
  <c r="CK13" i="73"/>
  <c r="CV13" i="73" s="1"/>
  <c r="CL27" i="73"/>
  <c r="CW27" i="73" s="1"/>
  <c r="CK24" i="73"/>
  <c r="CV24" i="73" s="1"/>
  <c r="CL22" i="73"/>
  <c r="CW22" i="73" s="1"/>
  <c r="CM16" i="73"/>
  <c r="CX16" i="73" s="1"/>
  <c r="CJ13" i="73"/>
  <c r="CU13" i="73" s="1"/>
  <c r="CJ27" i="73"/>
  <c r="CU27" i="73" s="1"/>
  <c r="CI24" i="73"/>
  <c r="CT24" i="73" s="1"/>
  <c r="CM19" i="73"/>
  <c r="CX19" i="73" s="1"/>
  <c r="CL16" i="73"/>
  <c r="CW16" i="73" s="1"/>
  <c r="CI13" i="73"/>
  <c r="CT13" i="73" s="1"/>
  <c r="CM12" i="73"/>
  <c r="CX12" i="73" s="1"/>
  <c r="CJ32" i="73"/>
  <c r="CU32" i="73" s="1"/>
  <c r="CI19" i="73"/>
  <c r="CT19" i="73" s="1"/>
  <c r="CJ16" i="73"/>
  <c r="CU16" i="73" s="1"/>
  <c r="CI15" i="73"/>
  <c r="CT15" i="73" s="1"/>
  <c r="CK12" i="73"/>
  <c r="CV12" i="73" s="1"/>
  <c r="CI32" i="73"/>
  <c r="CT32" i="73" s="1"/>
  <c r="CM31" i="73"/>
  <c r="CX31" i="73" s="1"/>
  <c r="CH19" i="73"/>
  <c r="CR19" i="73" s="1"/>
  <c r="CM17" i="73"/>
  <c r="CX17" i="73" s="1"/>
  <c r="CI16" i="73"/>
  <c r="CT16" i="73" s="1"/>
  <c r="CH15" i="73"/>
  <c r="CJ12" i="73"/>
  <c r="CU12" i="73" s="1"/>
  <c r="CM5" i="73"/>
  <c r="CX5" i="73" s="1"/>
  <c r="CH27" i="73"/>
  <c r="CS27" i="73" s="1"/>
  <c r="CH24" i="73"/>
  <c r="CH12" i="73"/>
  <c r="CS12" i="73" s="1"/>
  <c r="CI5" i="73"/>
  <c r="CT5" i="73" s="1"/>
  <c r="CL30" i="73"/>
  <c r="CW30" i="73" s="1"/>
  <c r="CH5" i="73"/>
  <c r="CK28" i="73"/>
  <c r="CV28" i="73" s="1"/>
  <c r="CL25" i="73"/>
  <c r="CW25" i="73" s="1"/>
  <c r="CL17" i="73"/>
  <c r="CW17" i="73" s="1"/>
  <c r="CK16" i="73"/>
  <c r="CV16" i="73" s="1"/>
  <c r="CL13" i="73"/>
  <c r="CW13" i="73" s="1"/>
  <c r="CE4" i="73"/>
  <c r="CH32" i="73"/>
  <c r="CJ28" i="73"/>
  <c r="CU28" i="73" s="1"/>
  <c r="CK25" i="73"/>
  <c r="CV25" i="73" s="1"/>
  <c r="CH16" i="73"/>
  <c r="CJ15" i="73"/>
  <c r="CU15" i="73" s="1"/>
  <c r="CH13" i="73"/>
  <c r="CI28" i="73"/>
  <c r="CT28" i="73" s="1"/>
  <c r="CI25" i="73"/>
  <c r="CT25" i="73" s="1"/>
  <c r="CM18" i="73"/>
  <c r="CX18" i="73" s="1"/>
  <c r="CH28" i="73"/>
  <c r="CH25" i="73"/>
  <c r="CS25" i="73" s="1"/>
  <c r="CL18" i="73"/>
  <c r="CW18" i="73" s="1"/>
  <c r="CM14" i="73"/>
  <c r="CX14" i="73" s="1"/>
  <c r="CN22" i="73"/>
  <c r="CY22" i="73" s="1"/>
  <c r="CI23" i="73"/>
  <c r="CT23" i="73" s="1"/>
  <c r="CO28" i="73"/>
  <c r="CZ28" i="73" s="1"/>
  <c r="CK29" i="73"/>
  <c r="CV29" i="73" s="1"/>
  <c r="CK31" i="73"/>
  <c r="CV31" i="73" s="1"/>
  <c r="CO22" i="73"/>
  <c r="CZ22" i="73" s="1"/>
  <c r="CK23" i="73"/>
  <c r="CV23" i="73" s="1"/>
  <c r="CL29" i="73"/>
  <c r="CW29" i="73" s="1"/>
  <c r="CP31" i="73"/>
  <c r="DA31" i="73" s="1"/>
  <c r="CM27" i="73"/>
  <c r="CX27" i="73" s="1"/>
  <c r="CY33" i="73"/>
  <c r="DD33" i="73"/>
  <c r="CT29" i="73"/>
  <c r="CY29" i="73"/>
  <c r="CX29" i="73"/>
  <c r="DD29" i="73"/>
  <c r="CU29" i="73"/>
  <c r="DD34" i="73"/>
  <c r="DA13" i="73"/>
  <c r="CM20" i="73"/>
  <c r="CX20" i="73" s="1"/>
  <c r="CP28" i="73"/>
  <c r="DA28" i="73" s="1"/>
  <c r="CN28" i="73"/>
  <c r="CY28" i="73" s="1"/>
  <c r="CL28" i="73"/>
  <c r="CW28" i="73" s="1"/>
  <c r="CM28" i="73"/>
  <c r="CX28" i="73" s="1"/>
  <c r="CZ14" i="73"/>
  <c r="CJ20" i="73"/>
  <c r="CU20" i="73" s="1"/>
  <c r="CJ26" i="73"/>
  <c r="CU26" i="73" s="1"/>
  <c r="CH26" i="73"/>
  <c r="CQ26" i="73"/>
  <c r="DB26" i="73" s="1"/>
  <c r="CK20" i="73"/>
  <c r="CV20" i="73" s="1"/>
  <c r="CN20" i="73"/>
  <c r="CY20" i="73" s="1"/>
  <c r="CO20" i="73"/>
  <c r="CZ20" i="73" s="1"/>
  <c r="CP20" i="73"/>
  <c r="DA20" i="73" s="1"/>
  <c r="CI27" i="73"/>
  <c r="CT27" i="73" s="1"/>
  <c r="CX8" i="72"/>
  <c r="CY8" i="72"/>
  <c r="CZ8" i="72"/>
  <c r="CU8" i="72"/>
  <c r="DA8" i="72"/>
  <c r="CV8" i="72"/>
  <c r="DD8" i="72"/>
  <c r="CY24" i="72"/>
  <c r="CX31" i="72"/>
  <c r="CY31" i="72"/>
  <c r="CZ31" i="72"/>
  <c r="CT31" i="72"/>
  <c r="DD31" i="72"/>
  <c r="CW31" i="72"/>
  <c r="CT24" i="72"/>
  <c r="DD24" i="72"/>
  <c r="CG6" i="72"/>
  <c r="CT28" i="72"/>
  <c r="CN20" i="72"/>
  <c r="CY20" i="72" s="1"/>
  <c r="CP20" i="72"/>
  <c r="DA20" i="72" s="1"/>
  <c r="CQ20" i="72"/>
  <c r="DB20" i="72" s="1"/>
  <c r="CJ20" i="72"/>
  <c r="CR20" i="72" s="1"/>
  <c r="CK20" i="72"/>
  <c r="CV20" i="72" s="1"/>
  <c r="CL20" i="72"/>
  <c r="CW20" i="72" s="1"/>
  <c r="CM20" i="72"/>
  <c r="CX20" i="72" s="1"/>
  <c r="CP28" i="72"/>
  <c r="DA28" i="72" s="1"/>
  <c r="CJ28" i="72"/>
  <c r="CU28" i="72" s="1"/>
  <c r="CN28" i="72"/>
  <c r="CY28" i="72" s="1"/>
  <c r="CL28" i="72"/>
  <c r="CW28" i="72" s="1"/>
  <c r="CM28" i="72"/>
  <c r="CX28" i="72" s="1"/>
  <c r="CH28" i="72"/>
  <c r="CS28" i="72" s="1"/>
  <c r="CO28" i="72"/>
  <c r="CZ28" i="72" s="1"/>
  <c r="DF20" i="72"/>
  <c r="DB25" i="72"/>
  <c r="DD25" i="72"/>
  <c r="CS16" i="72"/>
  <c r="CU16" i="72"/>
  <c r="CV16" i="72"/>
  <c r="CX16" i="72"/>
  <c r="CY16" i="72"/>
  <c r="DD16" i="72"/>
  <c r="CW16" i="72"/>
  <c r="DA16" i="72"/>
  <c r="CZ16" i="72"/>
  <c r="DB8" i="72"/>
  <c r="CQ13" i="72"/>
  <c r="DB13" i="72" s="1"/>
  <c r="CQ27" i="72"/>
  <c r="DB27" i="72" s="1"/>
  <c r="CS20" i="72"/>
  <c r="CT20" i="72"/>
  <c r="CU20" i="72"/>
  <c r="CI19" i="72"/>
  <c r="CT19" i="72" s="1"/>
  <c r="CI15" i="72"/>
  <c r="CQ28" i="72"/>
  <c r="DB28" i="72" s="1"/>
  <c r="CQ15" i="72"/>
  <c r="DB15" i="72" s="1"/>
  <c r="CQ19" i="72"/>
  <c r="DB19" i="72" s="1"/>
  <c r="CQ34" i="72"/>
  <c r="CQ7" i="72"/>
  <c r="DB7" i="72" s="1"/>
  <c r="CQ16" i="72"/>
  <c r="DB16" i="72" s="1"/>
  <c r="DF28" i="72"/>
  <c r="DF14" i="72"/>
  <c r="DF29" i="72"/>
  <c r="CW34" i="72"/>
  <c r="CI21" i="72"/>
  <c r="CI22" i="72"/>
  <c r="CI18" i="72"/>
  <c r="CV34" i="72"/>
  <c r="DD29" i="72"/>
  <c r="CI33" i="72"/>
  <c r="CQ32" i="72"/>
  <c r="DB32" i="72" s="1"/>
  <c r="CX30" i="72"/>
  <c r="CY30" i="72"/>
  <c r="CZ30" i="72"/>
  <c r="DA30" i="72"/>
  <c r="CW17" i="72"/>
  <c r="CX17" i="72"/>
  <c r="CY17" i="72"/>
  <c r="CV15" i="72"/>
  <c r="DD14" i="72"/>
  <c r="CY14" i="72"/>
  <c r="DH19" i="72"/>
  <c r="CI7" i="72"/>
  <c r="CT7" i="72" s="1"/>
  <c r="CQ14" i="72"/>
  <c r="DB14" i="72" s="1"/>
  <c r="CY32" i="72"/>
  <c r="CU32" i="72"/>
  <c r="CV32" i="72"/>
  <c r="CW32" i="72"/>
  <c r="CS27" i="72"/>
  <c r="CV21" i="72"/>
  <c r="CW21" i="72"/>
  <c r="CX21" i="72"/>
  <c r="CQ29" i="72"/>
  <c r="DB29" i="72" s="1"/>
  <c r="CZ22" i="72"/>
  <c r="DA22" i="72"/>
  <c r="DB22" i="72"/>
  <c r="CY22" i="72"/>
  <c r="DD22" i="72"/>
  <c r="CO15" i="72"/>
  <c r="CO19" i="72"/>
  <c r="CZ19" i="72" s="1"/>
  <c r="CO27" i="72"/>
  <c r="CZ27" i="72" s="1"/>
  <c r="CO32" i="72"/>
  <c r="CZ32" i="72" s="1"/>
  <c r="CO6" i="72"/>
  <c r="CZ6" i="72" s="1"/>
  <c r="CO17" i="72"/>
  <c r="CZ17" i="72" s="1"/>
  <c r="CQ6" i="72"/>
  <c r="DB6" i="72" s="1"/>
  <c r="CI30" i="72"/>
  <c r="CT30" i="72" s="1"/>
  <c r="CI8" i="72"/>
  <c r="CR8" i="72" s="1"/>
  <c r="CI17" i="72"/>
  <c r="CI6" i="72"/>
  <c r="CI25" i="72"/>
  <c r="CI32" i="72"/>
  <c r="CT32" i="72" s="1"/>
  <c r="CI27" i="72"/>
  <c r="CT27" i="72" s="1"/>
  <c r="CI29" i="72"/>
  <c r="CT29" i="72" s="1"/>
  <c r="CI14" i="72"/>
  <c r="CT14" i="72" s="1"/>
  <c r="CS15" i="72"/>
  <c r="CX15" i="72"/>
  <c r="CY15" i="72"/>
  <c r="CZ15" i="72"/>
  <c r="CI23" i="72"/>
  <c r="CQ17" i="72"/>
  <c r="DB17" i="72" s="1"/>
  <c r="CI16" i="72"/>
  <c r="CT16" i="72" s="1"/>
  <c r="CQ12" i="72"/>
  <c r="DB12" i="72" s="1"/>
  <c r="CO23" i="72"/>
  <c r="CZ23" i="72" s="1"/>
  <c r="CO20" i="72"/>
  <c r="CZ20" i="72" s="1"/>
  <c r="CO24" i="72"/>
  <c r="CZ24" i="72" s="1"/>
  <c r="CV13" i="72"/>
  <c r="CY13" i="72"/>
  <c r="CK14" i="72"/>
  <c r="CV14" i="72" s="1"/>
  <c r="CK26" i="72"/>
  <c r="CV26" i="72" s="1"/>
  <c r="CJ22" i="72"/>
  <c r="CU22" i="72" s="1"/>
  <c r="CJ24" i="72"/>
  <c r="CU24" i="72" s="1"/>
  <c r="CG8" i="72"/>
  <c r="DH20" i="72"/>
  <c r="DD19" i="72"/>
  <c r="CX13" i="72"/>
  <c r="DN26" i="72"/>
  <c r="DX26" i="72" s="1"/>
  <c r="CK30" i="72"/>
  <c r="CV30" i="72" s="1"/>
  <c r="CK6" i="72"/>
  <c r="CV6" i="72" s="1"/>
  <c r="CK19" i="72"/>
  <c r="CV19" i="72" s="1"/>
  <c r="CK29" i="72"/>
  <c r="CV29" i="72" s="1"/>
  <c r="CK7" i="72"/>
  <c r="CV7" i="72" s="1"/>
  <c r="CK17" i="72"/>
  <c r="CV17" i="72" s="1"/>
  <c r="CK28" i="72"/>
  <c r="CV28" i="72" s="1"/>
  <c r="CK31" i="72"/>
  <c r="CR31" i="72" s="1"/>
  <c r="CJ26" i="72"/>
  <c r="CU26" i="72" s="1"/>
  <c r="CL26" i="72"/>
  <c r="CW26" i="72" s="1"/>
  <c r="CM26" i="72"/>
  <c r="CX26" i="72" s="1"/>
  <c r="CU19" i="72"/>
  <c r="CW13" i="72"/>
  <c r="CK18" i="72"/>
  <c r="CV18" i="72" s="1"/>
  <c r="CK22" i="72"/>
  <c r="CV22" i="72" s="1"/>
  <c r="CK24" i="72"/>
  <c r="CV24" i="72" s="1"/>
  <c r="CW6" i="72"/>
  <c r="CQ5" i="72"/>
  <c r="DB5" i="72" s="1"/>
  <c r="CP5" i="72"/>
  <c r="DA5" i="72" s="1"/>
  <c r="CD4" i="72"/>
  <c r="DH21" i="72" s="1"/>
  <c r="CO5" i="72"/>
  <c r="CZ5" i="72" s="1"/>
  <c r="CN5" i="72"/>
  <c r="CY5" i="72" s="1"/>
  <c r="CM5" i="72"/>
  <c r="CX5" i="72" s="1"/>
  <c r="EW5" i="72"/>
  <c r="CI5" i="72"/>
  <c r="CT5" i="72" s="1"/>
  <c r="CH5" i="72"/>
  <c r="DM5" i="72"/>
  <c r="DN5" i="72"/>
  <c r="CK5" i="72"/>
  <c r="CV5" i="72" s="1"/>
  <c r="CL5" i="72"/>
  <c r="CW5" i="72" s="1"/>
  <c r="F4" i="33"/>
  <c r="E4" i="33" s="1"/>
  <c r="D4" i="33" s="1"/>
  <c r="C4" i="33" s="1"/>
  <c r="B4" i="33" s="1"/>
  <c r="AY32" i="67" l="1"/>
  <c r="Y32" i="67" s="1"/>
  <c r="Z32" i="67" s="1"/>
  <c r="AE12" i="46"/>
  <c r="CE12" i="46"/>
  <c r="CK12" i="46" s="1"/>
  <c r="CE11" i="46"/>
  <c r="CK11" i="46" s="1"/>
  <c r="AD11" i="46"/>
  <c r="AE11" i="46"/>
  <c r="CJ12" i="46"/>
  <c r="CN12" i="46" s="1"/>
  <c r="AD12" i="46" s="1"/>
  <c r="CB15" i="34"/>
  <c r="CF15" i="34" s="1"/>
  <c r="BZ15" i="34"/>
  <c r="CH15" i="34"/>
  <c r="CL15" i="34" s="1"/>
  <c r="CB14" i="34"/>
  <c r="CF14" i="34" s="1"/>
  <c r="BZ14" i="34"/>
  <c r="CH14" i="34"/>
  <c r="CL14" i="34" s="1"/>
  <c r="AC14" i="34" s="1"/>
  <c r="CB13" i="34"/>
  <c r="CF13" i="34" s="1"/>
  <c r="BZ13" i="34"/>
  <c r="CH13" i="34"/>
  <c r="CL13" i="34" s="1"/>
  <c r="DA13" i="34"/>
  <c r="DE13" i="34" s="1"/>
  <c r="DH13" i="34" s="1"/>
  <c r="CX13" i="34"/>
  <c r="CB16" i="34"/>
  <c r="CF16" i="34" s="1"/>
  <c r="BZ16" i="34"/>
  <c r="CH16" i="34"/>
  <c r="CL16" i="34" s="1"/>
  <c r="CT16" i="34"/>
  <c r="DG14" i="34"/>
  <c r="DK14" i="34" s="1"/>
  <c r="CX14" i="34"/>
  <c r="DA14" i="34"/>
  <c r="DE14" i="34" s="1"/>
  <c r="DH14" i="34" s="1"/>
  <c r="CX15" i="34"/>
  <c r="DG15" i="34"/>
  <c r="DK15" i="34" s="1"/>
  <c r="DA15" i="34"/>
  <c r="DE15" i="34" s="1"/>
  <c r="DH15" i="34" s="1"/>
  <c r="DZ27" i="74"/>
  <c r="EJ27" i="74" s="1"/>
  <c r="AO27" i="74" s="1"/>
  <c r="DY27" i="74"/>
  <c r="DZ28" i="74"/>
  <c r="EJ28" i="74" s="1"/>
  <c r="AO28" i="74" s="1"/>
  <c r="DY28" i="74"/>
  <c r="EK28" i="74"/>
  <c r="DZ26" i="74"/>
  <c r="EJ26" i="74" s="1"/>
  <c r="AO26" i="74" s="1"/>
  <c r="DY26" i="74"/>
  <c r="DZ24" i="74"/>
  <c r="EJ24" i="74" s="1"/>
  <c r="AO24" i="74" s="1"/>
  <c r="C7" i="50" s="1"/>
  <c r="DY24" i="74"/>
  <c r="EK24" i="74"/>
  <c r="DY25" i="74"/>
  <c r="DZ25" i="74"/>
  <c r="EJ25" i="74" s="1"/>
  <c r="AO25" i="74" s="1"/>
  <c r="EU22" i="74"/>
  <c r="AP22" i="74"/>
  <c r="EK29" i="74"/>
  <c r="EU29" i="74" s="1"/>
  <c r="DZ29" i="74"/>
  <c r="EJ29" i="74" s="1"/>
  <c r="DY29" i="74"/>
  <c r="DO23" i="74"/>
  <c r="DC23" i="74"/>
  <c r="AR6" i="69"/>
  <c r="D9" i="50"/>
  <c r="D6" i="50"/>
  <c r="D11" i="50"/>
  <c r="AR6" i="72"/>
  <c r="AR13" i="43"/>
  <c r="D14" i="50"/>
  <c r="DN30" i="72"/>
  <c r="DF6" i="72"/>
  <c r="DF30" i="72"/>
  <c r="DM6" i="75"/>
  <c r="CR34" i="72"/>
  <c r="EW7" i="72"/>
  <c r="CR25" i="72"/>
  <c r="CR15" i="72"/>
  <c r="DR19" i="72"/>
  <c r="EC19" i="72" s="1"/>
  <c r="EN19" i="72" s="1"/>
  <c r="DM6" i="72"/>
  <c r="DW6" i="72" s="1"/>
  <c r="CS7" i="72"/>
  <c r="DO7" i="72" s="1"/>
  <c r="DG13" i="72"/>
  <c r="DQ13" i="72" s="1"/>
  <c r="EB13" i="72" s="1"/>
  <c r="EM13" i="72" s="1"/>
  <c r="DN7" i="72"/>
  <c r="DX7" i="72" s="1"/>
  <c r="EI7" i="72" s="1"/>
  <c r="ET7" i="72" s="1"/>
  <c r="DP30" i="72"/>
  <c r="EA30" i="72" s="1"/>
  <c r="EL30" i="72" s="1"/>
  <c r="DH9" i="75"/>
  <c r="DR9" i="75" s="1"/>
  <c r="DI9" i="75"/>
  <c r="DS9" i="75" s="1"/>
  <c r="DL9" i="75"/>
  <c r="DE7" i="75"/>
  <c r="DE9" i="75"/>
  <c r="DG9" i="75"/>
  <c r="DQ9" i="75" s="1"/>
  <c r="DJ9" i="75"/>
  <c r="DT9" i="75" s="1"/>
  <c r="DK9" i="75"/>
  <c r="DU9" i="75" s="1"/>
  <c r="DF9" i="75"/>
  <c r="DP9" i="75" s="1"/>
  <c r="DS21" i="75"/>
  <c r="ED21" i="75" s="1"/>
  <c r="DN8" i="75"/>
  <c r="DX8" i="75" s="1"/>
  <c r="EI8" i="75" s="1"/>
  <c r="ET8" i="75" s="1"/>
  <c r="DN15" i="75"/>
  <c r="DX15" i="75" s="1"/>
  <c r="EI15" i="75" s="1"/>
  <c r="ET15" i="75" s="1"/>
  <c r="DS14" i="75"/>
  <c r="ED14" i="75" s="1"/>
  <c r="DL7" i="75"/>
  <c r="DV7" i="75" s="1"/>
  <c r="EG7" i="75" s="1"/>
  <c r="ER7" i="75" s="1"/>
  <c r="DL16" i="75"/>
  <c r="DV16" i="75" s="1"/>
  <c r="DF10" i="75"/>
  <c r="DP10" i="75" s="1"/>
  <c r="EA10" i="75" s="1"/>
  <c r="EL10" i="75" s="1"/>
  <c r="DE15" i="75"/>
  <c r="DF15" i="75"/>
  <c r="DP15" i="75" s="1"/>
  <c r="EA15" i="75" s="1"/>
  <c r="EL15" i="75" s="1"/>
  <c r="DK7" i="75"/>
  <c r="DI8" i="75"/>
  <c r="DL14" i="75"/>
  <c r="DV14" i="75" s="1"/>
  <c r="EG14" i="75" s="1"/>
  <c r="ER14" i="75" s="1"/>
  <c r="DM16" i="75"/>
  <c r="DW16" i="75" s="1"/>
  <c r="DN19" i="75"/>
  <c r="DX19" i="75" s="1"/>
  <c r="EI19" i="75" s="1"/>
  <c r="ET19" i="75" s="1"/>
  <c r="DF14" i="75"/>
  <c r="DP14" i="75" s="1"/>
  <c r="DH19" i="75"/>
  <c r="DR19" i="75" s="1"/>
  <c r="DK12" i="75"/>
  <c r="DG18" i="75"/>
  <c r="DQ18" i="75" s="1"/>
  <c r="DJ20" i="75"/>
  <c r="DT20" i="75" s="1"/>
  <c r="EE20" i="75" s="1"/>
  <c r="DK10" i="75"/>
  <c r="DU10" i="75" s="1"/>
  <c r="EF10" i="75" s="1"/>
  <c r="DE16" i="75"/>
  <c r="DO16" i="75" s="1"/>
  <c r="DG17" i="75"/>
  <c r="DQ17" i="75" s="1"/>
  <c r="DF7" i="75"/>
  <c r="DP7" i="75" s="1"/>
  <c r="DM5" i="75"/>
  <c r="DW5" i="75" s="1"/>
  <c r="DI17" i="75"/>
  <c r="DG14" i="75"/>
  <c r="DQ14" i="75" s="1"/>
  <c r="DF13" i="75"/>
  <c r="DP13" i="75" s="1"/>
  <c r="EA13" i="75" s="1"/>
  <c r="EL13" i="75" s="1"/>
  <c r="DL12" i="75"/>
  <c r="DH12" i="75"/>
  <c r="DR12" i="75" s="1"/>
  <c r="EC12" i="75" s="1"/>
  <c r="DE17" i="75"/>
  <c r="DK18" i="75"/>
  <c r="DU18" i="75" s="1"/>
  <c r="EF18" i="75" s="1"/>
  <c r="EQ18" i="75" s="1"/>
  <c r="DE14" i="75"/>
  <c r="DN10" i="75"/>
  <c r="DX10" i="75" s="1"/>
  <c r="EI10" i="75" s="1"/>
  <c r="ET10" i="75" s="1"/>
  <c r="DI19" i="75"/>
  <c r="DJ11" i="75"/>
  <c r="DT11" i="75" s="1"/>
  <c r="EE11" i="75" s="1"/>
  <c r="DH21" i="75"/>
  <c r="DR21" i="75" s="1"/>
  <c r="DN5" i="75"/>
  <c r="DX5" i="75" s="1"/>
  <c r="DG8" i="75"/>
  <c r="DH5" i="75"/>
  <c r="DR5" i="75" s="1"/>
  <c r="EC5" i="75" s="1"/>
  <c r="EN5" i="75" s="1"/>
  <c r="DE13" i="75"/>
  <c r="DJ17" i="75"/>
  <c r="DF8" i="75"/>
  <c r="DP8" i="75" s="1"/>
  <c r="EA8" i="75" s="1"/>
  <c r="EL8" i="75" s="1"/>
  <c r="DM15" i="75"/>
  <c r="DW15" i="75" s="1"/>
  <c r="DI14" i="75"/>
  <c r="DR15" i="75"/>
  <c r="EC15" i="75" s="1"/>
  <c r="EN15" i="75" s="1"/>
  <c r="DL19" i="75"/>
  <c r="DM12" i="75"/>
  <c r="DW12" i="75" s="1"/>
  <c r="DL21" i="75"/>
  <c r="DV21" i="75" s="1"/>
  <c r="EG21" i="75" s="1"/>
  <c r="ER21" i="75" s="1"/>
  <c r="DJ14" i="75"/>
  <c r="DT14" i="75" s="1"/>
  <c r="DG21" i="75"/>
  <c r="DQ21" i="75" s="1"/>
  <c r="EB21" i="75" s="1"/>
  <c r="EM21" i="75" s="1"/>
  <c r="DP19" i="75"/>
  <c r="EA19" i="75" s="1"/>
  <c r="EL19" i="75" s="1"/>
  <c r="DM18" i="75"/>
  <c r="DW18" i="75" s="1"/>
  <c r="EH18" i="75" s="1"/>
  <c r="ES18" i="75" s="1"/>
  <c r="DL17" i="75"/>
  <c r="DV17" i="75" s="1"/>
  <c r="EG17" i="75" s="1"/>
  <c r="ER17" i="75" s="1"/>
  <c r="DJ15" i="75"/>
  <c r="DL15" i="75"/>
  <c r="DM11" i="75"/>
  <c r="DE11" i="75"/>
  <c r="DO11" i="75" s="1"/>
  <c r="DK17" i="75"/>
  <c r="DU17" i="75" s="1"/>
  <c r="DE20" i="75"/>
  <c r="DO20" i="75" s="1"/>
  <c r="DF12" i="75"/>
  <c r="DF20" i="75"/>
  <c r="DP20" i="75" s="1"/>
  <c r="DJ7" i="75"/>
  <c r="DM9" i="75"/>
  <c r="DW9" i="75" s="1"/>
  <c r="DN9" i="75"/>
  <c r="DX9" i="75" s="1"/>
  <c r="DS6" i="75"/>
  <c r="ED6" i="75" s="1"/>
  <c r="EO6" i="75" s="1"/>
  <c r="DV19" i="75"/>
  <c r="EG19" i="75" s="1"/>
  <c r="DM10" i="75"/>
  <c r="DW10" i="75" s="1"/>
  <c r="EH10" i="75" s="1"/>
  <c r="ES10" i="75" s="1"/>
  <c r="DP12" i="75"/>
  <c r="EA12" i="75" s="1"/>
  <c r="DF11" i="75"/>
  <c r="DP11" i="75" s="1"/>
  <c r="EA11" i="75" s="1"/>
  <c r="EL11" i="75" s="1"/>
  <c r="DH20" i="75"/>
  <c r="DR20" i="75" s="1"/>
  <c r="EC20" i="75" s="1"/>
  <c r="EN20" i="75" s="1"/>
  <c r="DH15" i="75"/>
  <c r="DG15" i="75"/>
  <c r="DQ15" i="75" s="1"/>
  <c r="EB15" i="75" s="1"/>
  <c r="DI21" i="75"/>
  <c r="DL5" i="75"/>
  <c r="DE8" i="75"/>
  <c r="DV9" i="75"/>
  <c r="DT7" i="75"/>
  <c r="EE7" i="75" s="1"/>
  <c r="EP7" i="75" s="1"/>
  <c r="DR13" i="75"/>
  <c r="DV5" i="75"/>
  <c r="EG5" i="75" s="1"/>
  <c r="ER5" i="75" s="1"/>
  <c r="DL13" i="75"/>
  <c r="DV13" i="75" s="1"/>
  <c r="DN18" i="75"/>
  <c r="DX18" i="75" s="1"/>
  <c r="EI18" i="75" s="1"/>
  <c r="ET18" i="75" s="1"/>
  <c r="DT6" i="75"/>
  <c r="EE6" i="75" s="1"/>
  <c r="EP6" i="75" s="1"/>
  <c r="DH16" i="75"/>
  <c r="DR16" i="75" s="1"/>
  <c r="EC16" i="75" s="1"/>
  <c r="EN16" i="75" s="1"/>
  <c r="DF16" i="75"/>
  <c r="DI18" i="75"/>
  <c r="DH6" i="75"/>
  <c r="DR6" i="75" s="1"/>
  <c r="EC6" i="75" s="1"/>
  <c r="EN6" i="75" s="1"/>
  <c r="DK20" i="75"/>
  <c r="DU20" i="75" s="1"/>
  <c r="DG7" i="75"/>
  <c r="DQ7" i="75" s="1"/>
  <c r="EB7" i="75" s="1"/>
  <c r="DK6" i="75"/>
  <c r="DU6" i="75" s="1"/>
  <c r="EF6" i="75" s="1"/>
  <c r="EQ6" i="75" s="1"/>
  <c r="DE10" i="75"/>
  <c r="DI5" i="75"/>
  <c r="DS5" i="75" s="1"/>
  <c r="ED5" i="75" s="1"/>
  <c r="EO5" i="75" s="1"/>
  <c r="DN17" i="75"/>
  <c r="DX17" i="75" s="1"/>
  <c r="EI17" i="75" s="1"/>
  <c r="ET17" i="75" s="1"/>
  <c r="DL20" i="75"/>
  <c r="DV20" i="75" s="1"/>
  <c r="EG20" i="75" s="1"/>
  <c r="ER20" i="75" s="1"/>
  <c r="DI20" i="75"/>
  <c r="DS20" i="75" s="1"/>
  <c r="ED20" i="75" s="1"/>
  <c r="EO20" i="75" s="1"/>
  <c r="DJ8" i="75"/>
  <c r="DT8" i="75" s="1"/>
  <c r="EE8" i="75" s="1"/>
  <c r="EP8" i="75" s="1"/>
  <c r="DE21" i="75"/>
  <c r="DI11" i="75"/>
  <c r="DS11" i="75" s="1"/>
  <c r="ED11" i="75" s="1"/>
  <c r="EO11" i="75" s="1"/>
  <c r="CR9" i="75"/>
  <c r="CS9" i="75"/>
  <c r="DN11" i="75"/>
  <c r="DJ16" i="75"/>
  <c r="DT16" i="75" s="1"/>
  <c r="EE16" i="75" s="1"/>
  <c r="EP16" i="75" s="1"/>
  <c r="DI7" i="75"/>
  <c r="DF21" i="75"/>
  <c r="DP21" i="75" s="1"/>
  <c r="EA21" i="75" s="1"/>
  <c r="EL21" i="75" s="1"/>
  <c r="DN16" i="75"/>
  <c r="DF19" i="75"/>
  <c r="DI10" i="75"/>
  <c r="DJ21" i="75"/>
  <c r="DT21" i="75" s="1"/>
  <c r="EE21" i="75" s="1"/>
  <c r="EP21" i="75" s="1"/>
  <c r="DM17" i="75"/>
  <c r="DW17" i="75" s="1"/>
  <c r="DK11" i="75"/>
  <c r="DU11" i="75" s="1"/>
  <c r="DL6" i="75"/>
  <c r="DV6" i="75" s="1"/>
  <c r="EG6" i="75" s="1"/>
  <c r="ER6" i="75" s="1"/>
  <c r="DL11" i="75"/>
  <c r="DV11" i="75" s="1"/>
  <c r="EG11" i="75" s="1"/>
  <c r="ER11" i="75" s="1"/>
  <c r="DH7" i="75"/>
  <c r="DR7" i="75" s="1"/>
  <c r="EC7" i="75" s="1"/>
  <c r="EN7" i="75" s="1"/>
  <c r="DM14" i="75"/>
  <c r="DW14" i="75" s="1"/>
  <c r="EH14" i="75" s="1"/>
  <c r="ES14" i="75" s="1"/>
  <c r="DV15" i="75"/>
  <c r="EG15" i="75" s="1"/>
  <c r="ER15" i="75" s="1"/>
  <c r="DK15" i="75"/>
  <c r="DU15" i="75" s="1"/>
  <c r="EF15" i="75" s="1"/>
  <c r="DG10" i="75"/>
  <c r="DQ10" i="75" s="1"/>
  <c r="DK19" i="75"/>
  <c r="DU19" i="75" s="1"/>
  <c r="EF19" i="75" s="1"/>
  <c r="EQ19" i="75" s="1"/>
  <c r="DG11" i="75"/>
  <c r="DQ11" i="75" s="1"/>
  <c r="DM19" i="75"/>
  <c r="DK8" i="75"/>
  <c r="DU8" i="75" s="1"/>
  <c r="DG16" i="75"/>
  <c r="DQ16" i="75" s="1"/>
  <c r="EB16" i="75" s="1"/>
  <c r="EM16" i="75" s="1"/>
  <c r="DL10" i="75"/>
  <c r="DV10" i="75" s="1"/>
  <c r="EG10" i="75" s="1"/>
  <c r="ER10" i="75" s="1"/>
  <c r="DE12" i="75"/>
  <c r="DO12" i="75" s="1"/>
  <c r="DS17" i="75"/>
  <c r="ED17" i="75" s="1"/>
  <c r="DS7" i="75"/>
  <c r="ED7" i="75" s="1"/>
  <c r="EO7" i="75" s="1"/>
  <c r="DU7" i="75"/>
  <c r="EF7" i="75" s="1"/>
  <c r="EQ7" i="75" s="1"/>
  <c r="DI16" i="75"/>
  <c r="DG12" i="75"/>
  <c r="DQ12" i="75" s="1"/>
  <c r="EB12" i="75" s="1"/>
  <c r="EM12" i="75" s="1"/>
  <c r="DH13" i="75"/>
  <c r="DG19" i="75"/>
  <c r="DQ19" i="75" s="1"/>
  <c r="DF6" i="75"/>
  <c r="DP6" i="75" s="1"/>
  <c r="DI12" i="75"/>
  <c r="DS12" i="75" s="1"/>
  <c r="ED12" i="75" s="1"/>
  <c r="EO12" i="75" s="1"/>
  <c r="DF17" i="75"/>
  <c r="DP17" i="75" s="1"/>
  <c r="EA17" i="75" s="1"/>
  <c r="EL17" i="75" s="1"/>
  <c r="DH17" i="75"/>
  <c r="DR17" i="75" s="1"/>
  <c r="EC17" i="75" s="1"/>
  <c r="EN17" i="75" s="1"/>
  <c r="DG6" i="75"/>
  <c r="DQ6" i="75" s="1"/>
  <c r="DG20" i="75"/>
  <c r="DQ20" i="75" s="1"/>
  <c r="EB20" i="75" s="1"/>
  <c r="EM20" i="75" s="1"/>
  <c r="DV12" i="75"/>
  <c r="DJ12" i="75"/>
  <c r="DT12" i="75" s="1"/>
  <c r="EE12" i="75" s="1"/>
  <c r="EP12" i="75" s="1"/>
  <c r="DK16" i="75"/>
  <c r="DU16" i="75" s="1"/>
  <c r="EF16" i="75" s="1"/>
  <c r="EQ16" i="75" s="1"/>
  <c r="DJ5" i="75"/>
  <c r="DN14" i="75"/>
  <c r="DX14" i="75" s="1"/>
  <c r="DJ6" i="75"/>
  <c r="DJ13" i="75"/>
  <c r="DT13" i="75" s="1"/>
  <c r="EP13" i="75" s="1"/>
  <c r="DE6" i="75"/>
  <c r="DF5" i="75"/>
  <c r="DP5" i="75" s="1"/>
  <c r="EA5" i="75" s="1"/>
  <c r="DF18" i="75"/>
  <c r="DP18" i="75" s="1"/>
  <c r="DE18" i="75"/>
  <c r="DH11" i="75"/>
  <c r="DR11" i="75" s="1"/>
  <c r="EC11" i="75" s="1"/>
  <c r="EN11" i="75" s="1"/>
  <c r="DK21" i="75"/>
  <c r="DU21" i="75" s="1"/>
  <c r="DG5" i="75"/>
  <c r="DQ5" i="75" s="1"/>
  <c r="EB5" i="75" s="1"/>
  <c r="EM5" i="75" s="1"/>
  <c r="DH18" i="75"/>
  <c r="DR18" i="75" s="1"/>
  <c r="EC18" i="75" s="1"/>
  <c r="EN18" i="75" s="1"/>
  <c r="DT17" i="75"/>
  <c r="EE17" i="75" s="1"/>
  <c r="DH14" i="75"/>
  <c r="DJ10" i="75"/>
  <c r="DJ19" i="75"/>
  <c r="DT19" i="75" s="1"/>
  <c r="DG13" i="75"/>
  <c r="DQ13" i="75" s="1"/>
  <c r="EB13" i="75" s="1"/>
  <c r="EM13" i="75" s="1"/>
  <c r="DH8" i="75"/>
  <c r="DR8" i="75" s="1"/>
  <c r="EC8" i="75" s="1"/>
  <c r="EN8" i="75" s="1"/>
  <c r="DL8" i="75"/>
  <c r="DV8" i="75" s="1"/>
  <c r="EG8" i="75" s="1"/>
  <c r="ER8" i="75" s="1"/>
  <c r="DH10" i="75"/>
  <c r="DR10" i="75" s="1"/>
  <c r="EC10" i="75" s="1"/>
  <c r="EN10" i="75" s="1"/>
  <c r="DK5" i="75"/>
  <c r="DK14" i="75"/>
  <c r="DU14" i="75" s="1"/>
  <c r="EF14" i="75" s="1"/>
  <c r="EQ14" i="75" s="1"/>
  <c r="DX16" i="75"/>
  <c r="EI16" i="75" s="1"/>
  <c r="DM8" i="75"/>
  <c r="DN12" i="75"/>
  <c r="DX12" i="75" s="1"/>
  <c r="DQ8" i="75"/>
  <c r="DI6" i="75"/>
  <c r="DI15" i="75"/>
  <c r="DS15" i="75" s="1"/>
  <c r="DE5" i="75"/>
  <c r="DE19" i="75"/>
  <c r="DJ18" i="75"/>
  <c r="DT18" i="75" s="1"/>
  <c r="EE18" i="75" s="1"/>
  <c r="EP18" i="75" s="1"/>
  <c r="DL18" i="75"/>
  <c r="DV18" i="75" s="1"/>
  <c r="EG18" i="75" s="1"/>
  <c r="ER18" i="75" s="1"/>
  <c r="DT5" i="75"/>
  <c r="EE5" i="75" s="1"/>
  <c r="EP5" i="75" s="1"/>
  <c r="DP16" i="75"/>
  <c r="DT10" i="75"/>
  <c r="EE10" i="75" s="1"/>
  <c r="EP10" i="75" s="1"/>
  <c r="DS10" i="75"/>
  <c r="ED10" i="75" s="1"/>
  <c r="EO10" i="75" s="1"/>
  <c r="DS16" i="75"/>
  <c r="ED16" i="75" s="1"/>
  <c r="EO16" i="75" s="1"/>
  <c r="DR14" i="75"/>
  <c r="EC14" i="75" s="1"/>
  <c r="DU12" i="75"/>
  <c r="EF12" i="75" s="1"/>
  <c r="EQ12" i="75" s="1"/>
  <c r="EC13" i="75"/>
  <c r="EI20" i="75"/>
  <c r="ET20" i="75" s="1"/>
  <c r="DO19" i="75"/>
  <c r="DC19" i="75"/>
  <c r="EA16" i="75"/>
  <c r="EL16" i="75" s="1"/>
  <c r="CS8" i="75"/>
  <c r="CR8" i="75"/>
  <c r="AS8" i="75" s="1"/>
  <c r="AT8" i="75" s="1"/>
  <c r="DC11" i="75"/>
  <c r="EE13" i="75"/>
  <c r="CR5" i="75"/>
  <c r="AS5" i="75" s="1"/>
  <c r="AT5" i="75" s="1"/>
  <c r="CR17" i="75"/>
  <c r="CS17" i="75"/>
  <c r="DC20" i="75"/>
  <c r="CR7" i="75"/>
  <c r="AS7" i="75" s="1"/>
  <c r="AT7" i="75" s="1"/>
  <c r="CR20" i="75"/>
  <c r="CR13" i="75"/>
  <c r="DM7" i="75"/>
  <c r="DW7" i="75" s="1"/>
  <c r="DS19" i="75"/>
  <c r="CS13" i="75"/>
  <c r="DU5" i="75"/>
  <c r="DM21" i="75"/>
  <c r="DW21" i="75" s="1"/>
  <c r="DM20" i="75"/>
  <c r="DW20" i="75" s="1"/>
  <c r="CR6" i="75"/>
  <c r="AS6" i="75" s="1"/>
  <c r="AT6" i="75" s="1"/>
  <c r="CS6" i="75"/>
  <c r="CR16" i="75"/>
  <c r="DC16" i="75"/>
  <c r="CS15" i="75"/>
  <c r="DS8" i="75"/>
  <c r="CR12" i="75"/>
  <c r="CR19" i="75"/>
  <c r="CS5" i="75"/>
  <c r="DT15" i="75"/>
  <c r="DN21" i="75"/>
  <c r="DX21" i="75" s="1"/>
  <c r="DN7" i="75"/>
  <c r="DX7" i="75" s="1"/>
  <c r="DI13" i="75"/>
  <c r="DS13" i="75" s="1"/>
  <c r="CS10" i="75"/>
  <c r="CR10" i="75"/>
  <c r="DW6" i="75"/>
  <c r="DX11" i="75"/>
  <c r="DW8" i="75"/>
  <c r="CS7" i="75"/>
  <c r="DC12" i="75"/>
  <c r="DS18" i="75"/>
  <c r="DW19" i="75"/>
  <c r="DN13" i="75"/>
  <c r="DX13" i="75" s="1"/>
  <c r="EB10" i="75"/>
  <c r="EM10" i="75" s="1"/>
  <c r="CR11" i="75"/>
  <c r="DW11" i="75"/>
  <c r="DM13" i="75"/>
  <c r="DW13" i="75" s="1"/>
  <c r="DN6" i="75"/>
  <c r="DX6" i="75" s="1"/>
  <c r="CS18" i="75"/>
  <c r="CR18" i="75"/>
  <c r="CR14" i="75"/>
  <c r="CS14" i="75"/>
  <c r="CS21" i="75"/>
  <c r="DK13" i="75"/>
  <c r="DU13" i="75" s="1"/>
  <c r="DS29" i="72"/>
  <c r="ED29" i="72" s="1"/>
  <c r="EO29" i="72" s="1"/>
  <c r="CS14" i="72"/>
  <c r="CR14" i="72"/>
  <c r="DW20" i="72"/>
  <c r="DX31" i="72"/>
  <c r="DL6" i="73"/>
  <c r="DK6" i="73"/>
  <c r="DU6" i="73" s="1"/>
  <c r="EF6" i="73" s="1"/>
  <c r="EQ6" i="73" s="1"/>
  <c r="DJ6" i="73"/>
  <c r="DT6" i="73" s="1"/>
  <c r="EE6" i="73" s="1"/>
  <c r="EP6" i="73" s="1"/>
  <c r="DI6" i="73"/>
  <c r="DS6" i="73" s="1"/>
  <c r="DH6" i="73"/>
  <c r="DR6" i="73" s="1"/>
  <c r="EC6" i="73" s="1"/>
  <c r="EN6" i="73" s="1"/>
  <c r="DG6" i="73"/>
  <c r="DQ6" i="73" s="1"/>
  <c r="EB6" i="73" s="1"/>
  <c r="EM6" i="73" s="1"/>
  <c r="DF6" i="73"/>
  <c r="DP6" i="73" s="1"/>
  <c r="DE6" i="73"/>
  <c r="DO6" i="73" s="1"/>
  <c r="DN6" i="73"/>
  <c r="DX6" i="73" s="1"/>
  <c r="EI6" i="73" s="1"/>
  <c r="ET6" i="73" s="1"/>
  <c r="DM6" i="73"/>
  <c r="DQ30" i="72"/>
  <c r="EH6" i="72"/>
  <c r="ES6" i="72" s="1"/>
  <c r="DT30" i="72"/>
  <c r="EE30" i="72" s="1"/>
  <c r="DV6" i="73"/>
  <c r="EG6" i="73" s="1"/>
  <c r="ER6" i="73" s="1"/>
  <c r="DX32" i="72"/>
  <c r="EI32" i="72" s="1"/>
  <c r="ET32" i="72" s="1"/>
  <c r="DR22" i="72"/>
  <c r="EC22" i="72" s="1"/>
  <c r="EN22" i="72" s="1"/>
  <c r="DN16" i="72"/>
  <c r="DX16" i="72" s="1"/>
  <c r="DP20" i="72"/>
  <c r="EA20" i="72" s="1"/>
  <c r="DC6" i="73"/>
  <c r="DN25" i="72"/>
  <c r="DF27" i="72"/>
  <c r="DP27" i="72" s="1"/>
  <c r="EA27" i="72" s="1"/>
  <c r="EL27" i="72" s="1"/>
  <c r="DF22" i="72"/>
  <c r="DN6" i="72"/>
  <c r="DX6" i="72" s="1"/>
  <c r="EI6" i="72" s="1"/>
  <c r="ET6" i="72" s="1"/>
  <c r="DN17" i="72"/>
  <c r="DX17" i="72" s="1"/>
  <c r="DU28" i="72"/>
  <c r="EF28" i="72" s="1"/>
  <c r="EQ28" i="72" s="1"/>
  <c r="DF23" i="72"/>
  <c r="DU8" i="72"/>
  <c r="DF8" i="72"/>
  <c r="DN12" i="72"/>
  <c r="DN24" i="72"/>
  <c r="DX24" i="72" s="1"/>
  <c r="EI24" i="72" s="1"/>
  <c r="ET24" i="72" s="1"/>
  <c r="DM28" i="72"/>
  <c r="DM25" i="72"/>
  <c r="DW25" i="72" s="1"/>
  <c r="EH25" i="72" s="1"/>
  <c r="ES25" i="72" s="1"/>
  <c r="DM26" i="72"/>
  <c r="DW26" i="72" s="1"/>
  <c r="DN28" i="72"/>
  <c r="DX28" i="72" s="1"/>
  <c r="EI28" i="72" s="1"/>
  <c r="ET28" i="72" s="1"/>
  <c r="DM33" i="72"/>
  <c r="DW33" i="72" s="1"/>
  <c r="EH33" i="72" s="1"/>
  <c r="ES33" i="72" s="1"/>
  <c r="DM14" i="72"/>
  <c r="DW14" i="72" s="1"/>
  <c r="DM15" i="72"/>
  <c r="DW15" i="72" s="1"/>
  <c r="EH15" i="72" s="1"/>
  <c r="ES15" i="72" s="1"/>
  <c r="DN29" i="72"/>
  <c r="DX29" i="72" s="1"/>
  <c r="EI29" i="72" s="1"/>
  <c r="ET29" i="72" s="1"/>
  <c r="DM8" i="72"/>
  <c r="DW8" i="72" s="1"/>
  <c r="EH8" i="72" s="1"/>
  <c r="ES8" i="72" s="1"/>
  <c r="DN14" i="72"/>
  <c r="DN15" i="72"/>
  <c r="DX15" i="72" s="1"/>
  <c r="EI15" i="72" s="1"/>
  <c r="ET15" i="72" s="1"/>
  <c r="DM20" i="72"/>
  <c r="DM16" i="72"/>
  <c r="DW16" i="72" s="1"/>
  <c r="DM17" i="72"/>
  <c r="DW17" i="72" s="1"/>
  <c r="DN20" i="72"/>
  <c r="DX20" i="72" s="1"/>
  <c r="DM30" i="72"/>
  <c r="DW30" i="72" s="1"/>
  <c r="EH30" i="72" s="1"/>
  <c r="ES30" i="72" s="1"/>
  <c r="DM21" i="72"/>
  <c r="DW21" i="72" s="1"/>
  <c r="EH21" i="72" s="1"/>
  <c r="ES21" i="72" s="1"/>
  <c r="DM22" i="72"/>
  <c r="DW22" i="72" s="1"/>
  <c r="DM34" i="72"/>
  <c r="DW34" i="72" s="1"/>
  <c r="EH34" i="72" s="1"/>
  <c r="ES34" i="72" s="1"/>
  <c r="DN22" i="72"/>
  <c r="DX22" i="72" s="1"/>
  <c r="EI22" i="72" s="1"/>
  <c r="DM27" i="72"/>
  <c r="DW27" i="72" s="1"/>
  <c r="EH27" i="72" s="1"/>
  <c r="ES27" i="72" s="1"/>
  <c r="DM31" i="72"/>
  <c r="DW31" i="72" s="1"/>
  <c r="EH31" i="72" s="1"/>
  <c r="ES31" i="72" s="1"/>
  <c r="DN34" i="72"/>
  <c r="DM18" i="72"/>
  <c r="DW18" i="72" s="1"/>
  <c r="EH18" i="72" s="1"/>
  <c r="ES18" i="72" s="1"/>
  <c r="DN27" i="72"/>
  <c r="DN32" i="72"/>
  <c r="DN31" i="72"/>
  <c r="DM23" i="72"/>
  <c r="DW23" i="72" s="1"/>
  <c r="EH23" i="72" s="1"/>
  <c r="ES23" i="72" s="1"/>
  <c r="DM32" i="72"/>
  <c r="DW32" i="72" s="1"/>
  <c r="DN18" i="72"/>
  <c r="DX18" i="72" s="1"/>
  <c r="DM29" i="72"/>
  <c r="DW29" i="72" s="1"/>
  <c r="EH29" i="72" s="1"/>
  <c r="ES29" i="72" s="1"/>
  <c r="DM13" i="72"/>
  <c r="DW13" i="72" s="1"/>
  <c r="DN23" i="72"/>
  <c r="DX23" i="72" s="1"/>
  <c r="EI23" i="72" s="1"/>
  <c r="ET23" i="72" s="1"/>
  <c r="DN33" i="72"/>
  <c r="DX33" i="72" s="1"/>
  <c r="EI33" i="72" s="1"/>
  <c r="ET33" i="72" s="1"/>
  <c r="DM24" i="72"/>
  <c r="DW24" i="72" s="1"/>
  <c r="EH24" i="72" s="1"/>
  <c r="ES24" i="72" s="1"/>
  <c r="DM19" i="72"/>
  <c r="DW19" i="72" s="1"/>
  <c r="EH19" i="72" s="1"/>
  <c r="ES19" i="72" s="1"/>
  <c r="DM7" i="72"/>
  <c r="DW7" i="72" s="1"/>
  <c r="DN19" i="72"/>
  <c r="DX19" i="72" s="1"/>
  <c r="EI19" i="72" s="1"/>
  <c r="ET19" i="72" s="1"/>
  <c r="DM12" i="72"/>
  <c r="DW12" i="72" s="1"/>
  <c r="DN13" i="72"/>
  <c r="DX13" i="72" s="1"/>
  <c r="DH6" i="72"/>
  <c r="DR6" i="72" s="1"/>
  <c r="DF19" i="72"/>
  <c r="DF21" i="72"/>
  <c r="DH34" i="72"/>
  <c r="DR34" i="72" s="1"/>
  <c r="EC34" i="72" s="1"/>
  <c r="EN34" i="72" s="1"/>
  <c r="DF15" i="72"/>
  <c r="DQ31" i="72"/>
  <c r="EB31" i="72" s="1"/>
  <c r="DN8" i="72"/>
  <c r="DX8" i="72" s="1"/>
  <c r="DH25" i="72"/>
  <c r="DR25" i="72" s="1"/>
  <c r="DF13" i="72"/>
  <c r="DP13" i="72" s="1"/>
  <c r="EA13" i="72" s="1"/>
  <c r="EL13" i="72" s="1"/>
  <c r="DX27" i="72"/>
  <c r="EI27" i="72" s="1"/>
  <c r="ET27" i="72" s="1"/>
  <c r="DT25" i="72"/>
  <c r="EE25" i="72" s="1"/>
  <c r="EP25" i="72" s="1"/>
  <c r="DQ28" i="72"/>
  <c r="DN21" i="72"/>
  <c r="DX21" i="72" s="1"/>
  <c r="EI21" i="72" s="1"/>
  <c r="ET21" i="72" s="1"/>
  <c r="DS12" i="72"/>
  <c r="DJ6" i="72"/>
  <c r="DT6" i="72" s="1"/>
  <c r="DI8" i="72"/>
  <c r="DS8" i="72" s="1"/>
  <c r="ED8" i="72" s="1"/>
  <c r="EO8" i="72" s="1"/>
  <c r="DJ14" i="72"/>
  <c r="DT14" i="72" s="1"/>
  <c r="EE14" i="72" s="1"/>
  <c r="EP14" i="72" s="1"/>
  <c r="DJ15" i="72"/>
  <c r="DT15" i="72" s="1"/>
  <c r="DH16" i="72"/>
  <c r="DR16" i="72" s="1"/>
  <c r="EC16" i="72" s="1"/>
  <c r="EN16" i="72" s="1"/>
  <c r="DH17" i="72"/>
  <c r="DR17" i="72" s="1"/>
  <c r="EC17" i="72" s="1"/>
  <c r="EN17" i="72" s="1"/>
  <c r="DI20" i="72"/>
  <c r="DS20" i="72" s="1"/>
  <c r="ED20" i="72" s="1"/>
  <c r="EO20" i="72" s="1"/>
  <c r="DE21" i="72"/>
  <c r="DO21" i="72" s="1"/>
  <c r="DG22" i="72"/>
  <c r="DQ22" i="72" s="1"/>
  <c r="EB22" i="72" s="1"/>
  <c r="EM22" i="72" s="1"/>
  <c r="DL25" i="72"/>
  <c r="DV25" i="72" s="1"/>
  <c r="EG25" i="72" s="1"/>
  <c r="ER25" i="72" s="1"/>
  <c r="DL26" i="72"/>
  <c r="DV26" i="72" s="1"/>
  <c r="EG26" i="72" s="1"/>
  <c r="DE27" i="72"/>
  <c r="DO27" i="72" s="1"/>
  <c r="DK29" i="72"/>
  <c r="DU29" i="72" s="1"/>
  <c r="EF29" i="72" s="1"/>
  <c r="EQ29" i="72" s="1"/>
  <c r="DH30" i="72"/>
  <c r="DR30" i="72" s="1"/>
  <c r="EC30" i="72" s="1"/>
  <c r="EN30" i="72" s="1"/>
  <c r="DF31" i="72"/>
  <c r="DP31" i="72" s="1"/>
  <c r="DL33" i="72"/>
  <c r="DV33" i="72" s="1"/>
  <c r="EG33" i="72" s="1"/>
  <c r="ER33" i="72" s="1"/>
  <c r="DF34" i="72"/>
  <c r="DP34" i="72" s="1"/>
  <c r="DK6" i="72"/>
  <c r="DU6" i="72" s="1"/>
  <c r="DJ8" i="72"/>
  <c r="DT8" i="72" s="1"/>
  <c r="EE8" i="72" s="1"/>
  <c r="DK14" i="72"/>
  <c r="DU14" i="72" s="1"/>
  <c r="EF14" i="72" s="1"/>
  <c r="EQ14" i="72" s="1"/>
  <c r="DK15" i="72"/>
  <c r="DU15" i="72" s="1"/>
  <c r="DI16" i="72"/>
  <c r="DS16" i="72" s="1"/>
  <c r="ED16" i="72" s="1"/>
  <c r="EO16" i="72" s="1"/>
  <c r="DI17" i="72"/>
  <c r="DS17" i="72" s="1"/>
  <c r="DJ20" i="72"/>
  <c r="DT20" i="72" s="1"/>
  <c r="EE20" i="72" s="1"/>
  <c r="EP20" i="72" s="1"/>
  <c r="DG21" i="72"/>
  <c r="DQ21" i="72" s="1"/>
  <c r="DH22" i="72"/>
  <c r="DG27" i="72"/>
  <c r="DQ27" i="72" s="1"/>
  <c r="EB27" i="72" s="1"/>
  <c r="EM27" i="72" s="1"/>
  <c r="DL29" i="72"/>
  <c r="DV29" i="72" s="1"/>
  <c r="EG29" i="72" s="1"/>
  <c r="ER29" i="72" s="1"/>
  <c r="DI30" i="72"/>
  <c r="DS30" i="72" s="1"/>
  <c r="DG31" i="72"/>
  <c r="DE32" i="72"/>
  <c r="DO32" i="72" s="1"/>
  <c r="DG34" i="72"/>
  <c r="DQ34" i="72" s="1"/>
  <c r="EB34" i="72" s="1"/>
  <c r="EM34" i="72" s="1"/>
  <c r="DL6" i="72"/>
  <c r="DV6" i="72" s="1"/>
  <c r="EG6" i="72" s="1"/>
  <c r="ER6" i="72" s="1"/>
  <c r="DK8" i="72"/>
  <c r="DE7" i="72"/>
  <c r="DL8" i="72"/>
  <c r="DV8" i="72" s="1"/>
  <c r="EG8" i="72" s="1"/>
  <c r="ER8" i="72" s="1"/>
  <c r="DK16" i="72"/>
  <c r="DU16" i="72" s="1"/>
  <c r="EF16" i="72" s="1"/>
  <c r="EQ16" i="72" s="1"/>
  <c r="DK17" i="72"/>
  <c r="DU17" i="72" s="1"/>
  <c r="DE18" i="72"/>
  <c r="DO18" i="72" s="1"/>
  <c r="DZ18" i="72" s="1"/>
  <c r="EK18" i="72" s="1"/>
  <c r="DE19" i="72"/>
  <c r="DO19" i="72" s="1"/>
  <c r="DL20" i="72"/>
  <c r="DV20" i="72" s="1"/>
  <c r="EG20" i="72" s="1"/>
  <c r="ER20" i="72" s="1"/>
  <c r="DJ21" i="72"/>
  <c r="DT21" i="72" s="1"/>
  <c r="DJ22" i="72"/>
  <c r="DT22" i="72" s="1"/>
  <c r="EE22" i="72" s="1"/>
  <c r="EP22" i="72" s="1"/>
  <c r="DI27" i="72"/>
  <c r="DS27" i="72" s="1"/>
  <c r="ED27" i="72" s="1"/>
  <c r="EO27" i="72" s="1"/>
  <c r="DK30" i="72"/>
  <c r="DU30" i="72" s="1"/>
  <c r="DI31" i="72"/>
  <c r="DS31" i="72" s="1"/>
  <c r="ED31" i="72" s="1"/>
  <c r="EO31" i="72" s="1"/>
  <c r="DG32" i="72"/>
  <c r="DQ32" i="72" s="1"/>
  <c r="EB32" i="72" s="1"/>
  <c r="EM32" i="72" s="1"/>
  <c r="DJ34" i="72"/>
  <c r="DT34" i="72" s="1"/>
  <c r="DF7" i="72"/>
  <c r="DP7" i="72" s="1"/>
  <c r="EA7" i="72" s="1"/>
  <c r="EL7" i="72" s="1"/>
  <c r="DE13" i="72"/>
  <c r="DO13" i="72" s="1"/>
  <c r="DL16" i="72"/>
  <c r="DL17" i="72"/>
  <c r="DV17" i="72" s="1"/>
  <c r="EG17" i="72" s="1"/>
  <c r="ER17" i="72" s="1"/>
  <c r="DF18" i="72"/>
  <c r="DG19" i="72"/>
  <c r="DQ19" i="72" s="1"/>
  <c r="EB19" i="72" s="1"/>
  <c r="EM19" i="72" s="1"/>
  <c r="DK21" i="72"/>
  <c r="DU21" i="72" s="1"/>
  <c r="EF21" i="72" s="1"/>
  <c r="EQ21" i="72" s="1"/>
  <c r="DK22" i="72"/>
  <c r="DU22" i="72" s="1"/>
  <c r="EF22" i="72" s="1"/>
  <c r="EQ22" i="72" s="1"/>
  <c r="DJ27" i="72"/>
  <c r="DT27" i="72" s="1"/>
  <c r="EE27" i="72" s="1"/>
  <c r="EP27" i="72" s="1"/>
  <c r="DL30" i="72"/>
  <c r="DV30" i="72" s="1"/>
  <c r="EG30" i="72" s="1"/>
  <c r="ER30" i="72" s="1"/>
  <c r="DJ31" i="72"/>
  <c r="DT31" i="72" s="1"/>
  <c r="EE31" i="72" s="1"/>
  <c r="EP31" i="72" s="1"/>
  <c r="DH32" i="72"/>
  <c r="DK34" i="72"/>
  <c r="DU34" i="72" s="1"/>
  <c r="DG7" i="72"/>
  <c r="DQ7" i="72" s="1"/>
  <c r="EB7" i="72" s="1"/>
  <c r="EM7" i="72" s="1"/>
  <c r="DI13" i="72"/>
  <c r="DS13" i="72" s="1"/>
  <c r="DG18" i="72"/>
  <c r="DQ18" i="72" s="1"/>
  <c r="EB18" i="72" s="1"/>
  <c r="DI19" i="72"/>
  <c r="DS19" i="72" s="1"/>
  <c r="ED19" i="72" s="1"/>
  <c r="EO19" i="72" s="1"/>
  <c r="DL21" i="72"/>
  <c r="DL22" i="72"/>
  <c r="DV22" i="72" s="1"/>
  <c r="DK27" i="72"/>
  <c r="DU27" i="72" s="1"/>
  <c r="DK31" i="72"/>
  <c r="DU31" i="72" s="1"/>
  <c r="EF31" i="72" s="1"/>
  <c r="EQ31" i="72" s="1"/>
  <c r="DI32" i="72"/>
  <c r="DS32" i="72" s="1"/>
  <c r="DL34" i="72"/>
  <c r="DV34" i="72" s="1"/>
  <c r="DE24" i="72"/>
  <c r="DI7" i="72"/>
  <c r="DS7" i="72" s="1"/>
  <c r="ED7" i="72" s="1"/>
  <c r="EO7" i="72" s="1"/>
  <c r="DJ13" i="72"/>
  <c r="DH18" i="72"/>
  <c r="DR18" i="72" s="1"/>
  <c r="EC18" i="72" s="1"/>
  <c r="EN18" i="72" s="1"/>
  <c r="DJ19" i="72"/>
  <c r="DT19" i="72" s="1"/>
  <c r="EE19" i="72" s="1"/>
  <c r="EP19" i="72" s="1"/>
  <c r="DE23" i="72"/>
  <c r="DO23" i="72" s="1"/>
  <c r="DZ23" i="72" s="1"/>
  <c r="EK23" i="72" s="1"/>
  <c r="DL27" i="72"/>
  <c r="DV27" i="72" s="1"/>
  <c r="EG27" i="72" s="1"/>
  <c r="ER27" i="72" s="1"/>
  <c r="DL31" i="72"/>
  <c r="DV31" i="72" s="1"/>
  <c r="EG31" i="72" s="1"/>
  <c r="ER31" i="72" s="1"/>
  <c r="DJ32" i="72"/>
  <c r="DT32" i="72" s="1"/>
  <c r="DJ7" i="72"/>
  <c r="DT7" i="72" s="1"/>
  <c r="EE7" i="72" s="1"/>
  <c r="EP7" i="72" s="1"/>
  <c r="DE12" i="72"/>
  <c r="DO12" i="72" s="1"/>
  <c r="DK13" i="72"/>
  <c r="DU13" i="72" s="1"/>
  <c r="EF13" i="72" s="1"/>
  <c r="EQ13" i="72" s="1"/>
  <c r="DI18" i="72"/>
  <c r="DS18" i="72" s="1"/>
  <c r="ED18" i="72" s="1"/>
  <c r="EO18" i="72" s="1"/>
  <c r="DK19" i="72"/>
  <c r="DU19" i="72" s="1"/>
  <c r="EF19" i="72" s="1"/>
  <c r="EQ19" i="72" s="1"/>
  <c r="DG23" i="72"/>
  <c r="DQ23" i="72" s="1"/>
  <c r="DK32" i="72"/>
  <c r="DU32" i="72" s="1"/>
  <c r="DK7" i="72"/>
  <c r="DU7" i="72" s="1"/>
  <c r="EF7" i="72" s="1"/>
  <c r="EQ7" i="72" s="1"/>
  <c r="DF12" i="72"/>
  <c r="DP12" i="72" s="1"/>
  <c r="DL13" i="72"/>
  <c r="DV13" i="72" s="1"/>
  <c r="EG13" i="72" s="1"/>
  <c r="ER13" i="72" s="1"/>
  <c r="DJ18" i="72"/>
  <c r="DT18" i="72" s="1"/>
  <c r="EE18" i="72" s="1"/>
  <c r="EP18" i="72" s="1"/>
  <c r="DL19" i="72"/>
  <c r="DV19" i="72" s="1"/>
  <c r="EG19" i="72" s="1"/>
  <c r="ER19" i="72" s="1"/>
  <c r="DH23" i="72"/>
  <c r="DR23" i="72" s="1"/>
  <c r="DG24" i="72"/>
  <c r="DQ24" i="72" s="1"/>
  <c r="EB24" i="72" s="1"/>
  <c r="EM24" i="72" s="1"/>
  <c r="DE26" i="72"/>
  <c r="DO26" i="72" s="1"/>
  <c r="DZ26" i="72" s="1"/>
  <c r="DJ29" i="72"/>
  <c r="DT29" i="72" s="1"/>
  <c r="EE29" i="72" s="1"/>
  <c r="EP29" i="72" s="1"/>
  <c r="DE17" i="72"/>
  <c r="DO17" i="72" s="1"/>
  <c r="DJ24" i="72"/>
  <c r="DG26" i="72"/>
  <c r="DE31" i="72"/>
  <c r="DO31" i="72" s="1"/>
  <c r="DY31" i="72" s="1"/>
  <c r="DG28" i="72"/>
  <c r="DH31" i="72"/>
  <c r="DG12" i="72"/>
  <c r="DQ12" i="72" s="1"/>
  <c r="DI15" i="72"/>
  <c r="DS15" i="72" s="1"/>
  <c r="ED15" i="72" s="1"/>
  <c r="EO15" i="72" s="1"/>
  <c r="DG17" i="72"/>
  <c r="DQ17" i="72" s="1"/>
  <c r="EB17" i="72" s="1"/>
  <c r="EM17" i="72" s="1"/>
  <c r="DI26" i="72"/>
  <c r="DS26" i="72" s="1"/>
  <c r="DI34" i="72"/>
  <c r="DS34" i="72" s="1"/>
  <c r="ED34" i="72" s="1"/>
  <c r="EO34" i="72" s="1"/>
  <c r="DG30" i="72"/>
  <c r="DG14" i="72"/>
  <c r="DQ14" i="72" s="1"/>
  <c r="EB14" i="72" s="1"/>
  <c r="EM14" i="72" s="1"/>
  <c r="DF16" i="72"/>
  <c r="DP16" i="72" s="1"/>
  <c r="DI25" i="72"/>
  <c r="DS25" i="72" s="1"/>
  <c r="DI14" i="72"/>
  <c r="DS14" i="72" s="1"/>
  <c r="DG16" i="72"/>
  <c r="DQ16" i="72" s="1"/>
  <c r="DE22" i="72"/>
  <c r="DO22" i="72" s="1"/>
  <c r="DJ25" i="72"/>
  <c r="DI33" i="72"/>
  <c r="DS33" i="72" s="1"/>
  <c r="ED33" i="72" s="1"/>
  <c r="EO33" i="72" s="1"/>
  <c r="DK20" i="72"/>
  <c r="DK25" i="72"/>
  <c r="DU25" i="72" s="1"/>
  <c r="EF25" i="72" s="1"/>
  <c r="EQ25" i="72" s="1"/>
  <c r="DK18" i="72"/>
  <c r="DU18" i="72" s="1"/>
  <c r="DL32" i="72"/>
  <c r="DV32" i="72" s="1"/>
  <c r="EG32" i="72" s="1"/>
  <c r="ER32" i="72" s="1"/>
  <c r="DI29" i="72"/>
  <c r="DI24" i="72"/>
  <c r="DS24" i="72" s="1"/>
  <c r="ED24" i="72" s="1"/>
  <c r="EO24" i="72" s="1"/>
  <c r="DF26" i="72"/>
  <c r="DP26" i="72" s="1"/>
  <c r="DE15" i="72"/>
  <c r="DE28" i="72"/>
  <c r="DG15" i="72"/>
  <c r="DL24" i="72"/>
  <c r="DV24" i="72" s="1"/>
  <c r="DI28" i="72"/>
  <c r="DS28" i="72" s="1"/>
  <c r="ED28" i="72" s="1"/>
  <c r="EO28" i="72" s="1"/>
  <c r="DE30" i="72"/>
  <c r="DO30" i="72" s="1"/>
  <c r="DF25" i="72"/>
  <c r="DF33" i="72"/>
  <c r="DE16" i="72"/>
  <c r="DO16" i="72" s="1"/>
  <c r="DG25" i="72"/>
  <c r="DJ30" i="72"/>
  <c r="DE29" i="72"/>
  <c r="DO29" i="72" s="1"/>
  <c r="DZ29" i="72" s="1"/>
  <c r="DJ16" i="72"/>
  <c r="DT16" i="72" s="1"/>
  <c r="EE16" i="72" s="1"/>
  <c r="EP16" i="72" s="1"/>
  <c r="DF32" i="72"/>
  <c r="DP32" i="72" s="1"/>
  <c r="EA32" i="72" s="1"/>
  <c r="EL32" i="72" s="1"/>
  <c r="DH29" i="72"/>
  <c r="DR29" i="72" s="1"/>
  <c r="DF17" i="72"/>
  <c r="DK24" i="72"/>
  <c r="DH26" i="72"/>
  <c r="DR26" i="72" s="1"/>
  <c r="DE14" i="72"/>
  <c r="DL23" i="72"/>
  <c r="DV23" i="72" s="1"/>
  <c r="EG23" i="72" s="1"/>
  <c r="ER23" i="72" s="1"/>
  <c r="DE20" i="72"/>
  <c r="DH33" i="72"/>
  <c r="DR33" i="72" s="1"/>
  <c r="DL14" i="72"/>
  <c r="DV14" i="72" s="1"/>
  <c r="DI22" i="72"/>
  <c r="DS22" i="72" s="1"/>
  <c r="DG29" i="72"/>
  <c r="DQ29" i="72" s="1"/>
  <c r="DE6" i="72"/>
  <c r="DO6" i="72" s="1"/>
  <c r="DE8" i="72"/>
  <c r="DH12" i="72"/>
  <c r="DR12" i="72" s="1"/>
  <c r="DL15" i="72"/>
  <c r="DV15" i="72" s="1"/>
  <c r="EG15" i="72" s="1"/>
  <c r="ER15" i="72" s="1"/>
  <c r="DJ17" i="72"/>
  <c r="DT17" i="72" s="1"/>
  <c r="EE17" i="72" s="1"/>
  <c r="EP17" i="72" s="1"/>
  <c r="DI21" i="72"/>
  <c r="DS21" i="72" s="1"/>
  <c r="ED21" i="72" s="1"/>
  <c r="EO21" i="72" s="1"/>
  <c r="DJ26" i="72"/>
  <c r="DT26" i="72" s="1"/>
  <c r="EE26" i="72" s="1"/>
  <c r="EP26" i="72" s="1"/>
  <c r="DJ28" i="72"/>
  <c r="DT28" i="72" s="1"/>
  <c r="EE28" i="72" s="1"/>
  <c r="EP28" i="72" s="1"/>
  <c r="DG6" i="72"/>
  <c r="DL7" i="72"/>
  <c r="DV7" i="72" s="1"/>
  <c r="DG8" i="72"/>
  <c r="DQ8" i="72" s="1"/>
  <c r="EB8" i="72" s="1"/>
  <c r="EM8" i="72" s="1"/>
  <c r="DI12" i="72"/>
  <c r="DK26" i="72"/>
  <c r="DU26" i="72" s="1"/>
  <c r="DK28" i="72"/>
  <c r="DI6" i="72"/>
  <c r="DS6" i="72" s="1"/>
  <c r="DH8" i="72"/>
  <c r="DR8" i="72" s="1"/>
  <c r="DJ12" i="72"/>
  <c r="DT12" i="72" s="1"/>
  <c r="EE12" i="72" s="1"/>
  <c r="EP12" i="72" s="1"/>
  <c r="DI23" i="72"/>
  <c r="DS23" i="72" s="1"/>
  <c r="ED23" i="72" s="1"/>
  <c r="EO23" i="72" s="1"/>
  <c r="DL28" i="72"/>
  <c r="DV28" i="72" s="1"/>
  <c r="DE34" i="72"/>
  <c r="DO34" i="72" s="1"/>
  <c r="DK12" i="72"/>
  <c r="DU12" i="72" s="1"/>
  <c r="DJ23" i="72"/>
  <c r="DT23" i="72" s="1"/>
  <c r="EE23" i="72" s="1"/>
  <c r="EP23" i="72" s="1"/>
  <c r="DE25" i="72"/>
  <c r="DO25" i="72" s="1"/>
  <c r="DE33" i="72"/>
  <c r="DO33" i="72" s="1"/>
  <c r="DL12" i="72"/>
  <c r="DV12" i="72" s="1"/>
  <c r="DK23" i="72"/>
  <c r="DU23" i="72" s="1"/>
  <c r="EF23" i="72" s="1"/>
  <c r="EQ23" i="72" s="1"/>
  <c r="DG33" i="72"/>
  <c r="DQ33" i="72" s="1"/>
  <c r="EB33" i="72" s="1"/>
  <c r="EM33" i="72" s="1"/>
  <c r="DH14" i="72"/>
  <c r="DR14" i="72" s="1"/>
  <c r="DG20" i="72"/>
  <c r="DQ20" i="72" s="1"/>
  <c r="EB20" i="72" s="1"/>
  <c r="EM20" i="72" s="1"/>
  <c r="DJ33" i="72"/>
  <c r="DT33" i="72" s="1"/>
  <c r="DK33" i="72"/>
  <c r="DU33" i="72" s="1"/>
  <c r="DL18" i="72"/>
  <c r="DV18" i="72" s="1"/>
  <c r="EG18" i="72" s="1"/>
  <c r="ER18" i="72" s="1"/>
  <c r="DF24" i="72"/>
  <c r="DP24" i="72" s="1"/>
  <c r="EA24" i="72" s="1"/>
  <c r="EL24" i="72" s="1"/>
  <c r="DH27" i="72"/>
  <c r="DR27" i="72" s="1"/>
  <c r="EC27" i="72" s="1"/>
  <c r="EN27" i="72" s="1"/>
  <c r="DR21" i="72"/>
  <c r="EC21" i="72" s="1"/>
  <c r="EN21" i="72" s="1"/>
  <c r="DO8" i="72"/>
  <c r="DZ8" i="72" s="1"/>
  <c r="EK8" i="72" s="1"/>
  <c r="EE24" i="72"/>
  <c r="EP24" i="72" s="1"/>
  <c r="DU24" i="72"/>
  <c r="EF24" i="72" s="1"/>
  <c r="EQ24" i="72" s="1"/>
  <c r="DQ15" i="72"/>
  <c r="EB15" i="72" s="1"/>
  <c r="EM15" i="72" s="1"/>
  <c r="DX12" i="72"/>
  <c r="EI12" i="72" s="1"/>
  <c r="ET12" i="72" s="1"/>
  <c r="CR6" i="73"/>
  <c r="DW28" i="72"/>
  <c r="EH28" i="72" s="1"/>
  <c r="ES28" i="72" s="1"/>
  <c r="DQ25" i="72"/>
  <c r="DV21" i="72"/>
  <c r="EG21" i="72" s="1"/>
  <c r="ER21" i="72" s="1"/>
  <c r="DQ26" i="72"/>
  <c r="EB26" i="72" s="1"/>
  <c r="EJ26" i="72" s="1"/>
  <c r="DP14" i="72"/>
  <c r="DH15" i="72"/>
  <c r="DR15" i="72" s="1"/>
  <c r="EC15" i="72" s="1"/>
  <c r="EN15" i="72" s="1"/>
  <c r="DH13" i="72"/>
  <c r="DR13" i="72" s="1"/>
  <c r="EC13" i="72" s="1"/>
  <c r="EN13" i="72" s="1"/>
  <c r="DR28" i="72"/>
  <c r="EC28" i="72" s="1"/>
  <c r="EN28" i="72" s="1"/>
  <c r="DH28" i="72"/>
  <c r="CR16" i="72"/>
  <c r="DH7" i="72"/>
  <c r="DR7" i="72" s="1"/>
  <c r="DV16" i="72"/>
  <c r="EG16" i="72" s="1"/>
  <c r="ER16" i="72" s="1"/>
  <c r="CR32" i="72"/>
  <c r="DW6" i="73"/>
  <c r="EH6" i="73" s="1"/>
  <c r="ES6" i="73" s="1"/>
  <c r="DX14" i="72"/>
  <c r="EI14" i="72" s="1"/>
  <c r="DU20" i="72"/>
  <c r="EF20" i="72" s="1"/>
  <c r="EQ20" i="72" s="1"/>
  <c r="DT13" i="72"/>
  <c r="EE13" i="72" s="1"/>
  <c r="EP13" i="72" s="1"/>
  <c r="DP29" i="72"/>
  <c r="DH24" i="72"/>
  <c r="DR24" i="72" s="1"/>
  <c r="EC24" i="72" s="1"/>
  <c r="EN24" i="72" s="1"/>
  <c r="DR32" i="72"/>
  <c r="EC32" i="72" s="1"/>
  <c r="EN32" i="72" s="1"/>
  <c r="DT24" i="72"/>
  <c r="DC7" i="74"/>
  <c r="AM7" i="74" s="1"/>
  <c r="DC18" i="74"/>
  <c r="AM18" i="74" s="1"/>
  <c r="DH21" i="74"/>
  <c r="DR21" i="74" s="1"/>
  <c r="DJ8" i="74"/>
  <c r="DT8" i="74" s="1"/>
  <c r="DF7" i="74"/>
  <c r="DP7" i="74" s="1"/>
  <c r="DJ17" i="74"/>
  <c r="DF16" i="74"/>
  <c r="DP16" i="74" s="1"/>
  <c r="DK10" i="74"/>
  <c r="DU10" i="74" s="1"/>
  <c r="DG14" i="74"/>
  <c r="DQ14" i="74" s="1"/>
  <c r="DG21" i="74"/>
  <c r="DQ21" i="74" s="1"/>
  <c r="DL9" i="74"/>
  <c r="DV9" i="74" s="1"/>
  <c r="DI8" i="74"/>
  <c r="DS8" i="74" s="1"/>
  <c r="DE7" i="74"/>
  <c r="DO7" i="74" s="1"/>
  <c r="DI17" i="74"/>
  <c r="DS17" i="74" s="1"/>
  <c r="DE16" i="74"/>
  <c r="DI9" i="74"/>
  <c r="DS9" i="74" s="1"/>
  <c r="DF8" i="74"/>
  <c r="DP8" i="74" s="1"/>
  <c r="DJ18" i="74"/>
  <c r="DT18" i="74" s="1"/>
  <c r="DF17" i="74"/>
  <c r="DP17" i="74" s="1"/>
  <c r="DK11" i="74"/>
  <c r="DU11" i="74" s="1"/>
  <c r="DG10" i="74"/>
  <c r="DQ10" i="74" s="1"/>
  <c r="DH9" i="74"/>
  <c r="DR9" i="74" s="1"/>
  <c r="DE8" i="74"/>
  <c r="DI18" i="74"/>
  <c r="DS18" i="74" s="1"/>
  <c r="DJ20" i="74"/>
  <c r="DT20" i="74" s="1"/>
  <c r="DH8" i="74"/>
  <c r="DR8" i="74" s="1"/>
  <c r="DL19" i="74"/>
  <c r="DV19" i="74" s="1"/>
  <c r="DE18" i="74"/>
  <c r="DO18" i="74" s="1"/>
  <c r="DH13" i="74"/>
  <c r="DR13" i="74" s="1"/>
  <c r="DI20" i="74"/>
  <c r="DS20" i="74" s="1"/>
  <c r="DG8" i="74"/>
  <c r="DQ8" i="74" s="1"/>
  <c r="DK19" i="74"/>
  <c r="DU19" i="74" s="1"/>
  <c r="DG13" i="74"/>
  <c r="DQ13" i="74" s="1"/>
  <c r="DH20" i="74"/>
  <c r="DR20" i="74" s="1"/>
  <c r="DJ19" i="74"/>
  <c r="DT19" i="74" s="1"/>
  <c r="DF13" i="74"/>
  <c r="DP13" i="74" s="1"/>
  <c r="DG20" i="74"/>
  <c r="DQ20" i="74" s="1"/>
  <c r="DK9" i="74"/>
  <c r="DU9" i="74" s="1"/>
  <c r="DI19" i="74"/>
  <c r="DS19" i="74" s="1"/>
  <c r="DE13" i="74"/>
  <c r="DH18" i="74"/>
  <c r="DR18" i="74" s="1"/>
  <c r="DG17" i="74"/>
  <c r="DQ17" i="74" s="1"/>
  <c r="DG16" i="74"/>
  <c r="DQ16" i="74" s="1"/>
  <c r="DF15" i="74"/>
  <c r="DP15" i="74" s="1"/>
  <c r="DI14" i="74"/>
  <c r="DS14" i="74" s="1"/>
  <c r="DK12" i="74"/>
  <c r="DU12" i="74" s="1"/>
  <c r="DI6" i="74"/>
  <c r="DS6" i="74" s="1"/>
  <c r="DH19" i="74"/>
  <c r="DR19" i="74" s="1"/>
  <c r="DG18" i="74"/>
  <c r="DQ18" i="74" s="1"/>
  <c r="DE17" i="74"/>
  <c r="DO17" i="74" s="1"/>
  <c r="DE15" i="74"/>
  <c r="DH14" i="74"/>
  <c r="DR14" i="74" s="1"/>
  <c r="DJ12" i="74"/>
  <c r="DT12" i="74" s="1"/>
  <c r="DH6" i="74"/>
  <c r="DR6" i="74" s="1"/>
  <c r="DL20" i="74"/>
  <c r="DV20" i="74" s="1"/>
  <c r="DG19" i="74"/>
  <c r="DQ19" i="74" s="1"/>
  <c r="DF18" i="74"/>
  <c r="DP18" i="74" s="1"/>
  <c r="DF14" i="74"/>
  <c r="DP14" i="74" s="1"/>
  <c r="DI12" i="74"/>
  <c r="DS12" i="74" s="1"/>
  <c r="DG6" i="74"/>
  <c r="DQ6" i="74" s="1"/>
  <c r="DL5" i="74"/>
  <c r="DV5" i="74" s="1"/>
  <c r="DL21" i="74"/>
  <c r="DV21" i="74" s="1"/>
  <c r="DK20" i="74"/>
  <c r="DU20" i="74" s="1"/>
  <c r="DF19" i="74"/>
  <c r="DP19" i="74" s="1"/>
  <c r="DL17" i="74"/>
  <c r="DV17" i="74" s="1"/>
  <c r="DH15" i="74"/>
  <c r="DR15" i="74" s="1"/>
  <c r="DF10" i="74"/>
  <c r="DP10" i="74" s="1"/>
  <c r="DL7" i="74"/>
  <c r="DV7" i="74" s="1"/>
  <c r="DK17" i="74"/>
  <c r="DU17" i="74" s="1"/>
  <c r="DG15" i="74"/>
  <c r="DQ15" i="74" s="1"/>
  <c r="DE10" i="74"/>
  <c r="DK8" i="74"/>
  <c r="DU8" i="74" s="1"/>
  <c r="DK13" i="74"/>
  <c r="DU13" i="74" s="1"/>
  <c r="DJ5" i="74"/>
  <c r="DT5" i="74" s="1"/>
  <c r="DK21" i="74"/>
  <c r="DU21" i="74" s="1"/>
  <c r="DL8" i="74"/>
  <c r="DV8" i="74" s="1"/>
  <c r="DK7" i="74"/>
  <c r="DU7" i="74" s="1"/>
  <c r="DH17" i="74"/>
  <c r="DR17" i="74" s="1"/>
  <c r="DL11" i="74"/>
  <c r="DV11" i="74" s="1"/>
  <c r="DL13" i="74"/>
  <c r="DV13" i="74" s="1"/>
  <c r="DK5" i="74"/>
  <c r="DU5" i="74" s="1"/>
  <c r="DJ21" i="74"/>
  <c r="DT21" i="74" s="1"/>
  <c r="DJ7" i="74"/>
  <c r="DT7" i="74" s="1"/>
  <c r="DJ11" i="74"/>
  <c r="DT11" i="74" s="1"/>
  <c r="DH16" i="74"/>
  <c r="DR16" i="74" s="1"/>
  <c r="DJ14" i="74"/>
  <c r="DT14" i="74" s="1"/>
  <c r="DG12" i="74"/>
  <c r="DQ12" i="74" s="1"/>
  <c r="DJ9" i="74"/>
  <c r="DT9" i="74" s="1"/>
  <c r="DL18" i="74"/>
  <c r="DV18" i="74" s="1"/>
  <c r="DG11" i="74"/>
  <c r="DQ11" i="74" s="1"/>
  <c r="DF5" i="74"/>
  <c r="DP5" i="74" s="1"/>
  <c r="DJ16" i="74"/>
  <c r="DT16" i="74" s="1"/>
  <c r="DK18" i="74"/>
  <c r="DU18" i="74" s="1"/>
  <c r="DF11" i="74"/>
  <c r="DP11" i="74" s="1"/>
  <c r="DE5" i="74"/>
  <c r="DO5" i="74" s="1"/>
  <c r="DE6" i="74"/>
  <c r="DL15" i="74"/>
  <c r="DV15" i="74" s="1"/>
  <c r="DE11" i="74"/>
  <c r="DO11" i="74" s="1"/>
  <c r="DL6" i="74"/>
  <c r="DV6" i="74" s="1"/>
  <c r="DI21" i="74"/>
  <c r="DS21" i="74" s="1"/>
  <c r="DK15" i="74"/>
  <c r="DU15" i="74" s="1"/>
  <c r="DK6" i="74"/>
  <c r="DU6" i="74" s="1"/>
  <c r="DF21" i="74"/>
  <c r="DP21" i="74" s="1"/>
  <c r="DE19" i="74"/>
  <c r="DJ15" i="74"/>
  <c r="DT15" i="74" s="1"/>
  <c r="DJ6" i="74"/>
  <c r="DT6" i="74" s="1"/>
  <c r="DE21" i="74"/>
  <c r="DL16" i="74"/>
  <c r="DV16" i="74" s="1"/>
  <c r="DI15" i="74"/>
  <c r="DS15" i="74" s="1"/>
  <c r="DF6" i="74"/>
  <c r="DP6" i="74" s="1"/>
  <c r="DK16" i="74"/>
  <c r="DU16" i="74" s="1"/>
  <c r="DL10" i="74"/>
  <c r="DV10" i="74" s="1"/>
  <c r="DK14" i="74"/>
  <c r="DU14" i="74" s="1"/>
  <c r="DI7" i="74"/>
  <c r="DS7" i="74" s="1"/>
  <c r="DI11" i="74"/>
  <c r="DS11" i="74" s="1"/>
  <c r="DH10" i="74"/>
  <c r="DR10" i="74" s="1"/>
  <c r="DG5" i="74"/>
  <c r="DQ5" i="74" s="1"/>
  <c r="DJ10" i="74"/>
  <c r="DT10" i="74" s="1"/>
  <c r="DE14" i="74"/>
  <c r="DO14" i="74" s="1"/>
  <c r="DI10" i="74"/>
  <c r="DS10" i="74" s="1"/>
  <c r="DI16" i="74"/>
  <c r="DS16" i="74" s="1"/>
  <c r="DI13" i="74"/>
  <c r="DS13" i="74" s="1"/>
  <c r="DL12" i="74"/>
  <c r="DV12" i="74" s="1"/>
  <c r="DF20" i="74"/>
  <c r="DP20" i="74" s="1"/>
  <c r="DE20" i="74"/>
  <c r="DG9" i="74"/>
  <c r="DQ9" i="74" s="1"/>
  <c r="DH7" i="74"/>
  <c r="DR7" i="74" s="1"/>
  <c r="DH11" i="74"/>
  <c r="DR11" i="74" s="1"/>
  <c r="DH12" i="74"/>
  <c r="DR12" i="74" s="1"/>
  <c r="DF9" i="74"/>
  <c r="DP9" i="74" s="1"/>
  <c r="DG7" i="74"/>
  <c r="DQ7" i="74" s="1"/>
  <c r="DF12" i="74"/>
  <c r="DP12" i="74" s="1"/>
  <c r="DI5" i="74"/>
  <c r="DS5" i="74" s="1"/>
  <c r="DE9" i="74"/>
  <c r="DO9" i="74" s="1"/>
  <c r="DE12" i="74"/>
  <c r="DH5" i="74"/>
  <c r="DR5" i="74" s="1"/>
  <c r="DJ13" i="74"/>
  <c r="DT13" i="74" s="1"/>
  <c r="DL14" i="74"/>
  <c r="DV14" i="74" s="1"/>
  <c r="CR11" i="74"/>
  <c r="AS11" i="74" s="1"/>
  <c r="AT11" i="74" s="1"/>
  <c r="CR12" i="74"/>
  <c r="AS12" i="74" s="1"/>
  <c r="AT12" i="74" s="1"/>
  <c r="CS12" i="74"/>
  <c r="CR17" i="74"/>
  <c r="AS17" i="74" s="1"/>
  <c r="AT17" i="74" s="1"/>
  <c r="DC14" i="74"/>
  <c r="AM14" i="74" s="1"/>
  <c r="DM9" i="74"/>
  <c r="DW9" i="74" s="1"/>
  <c r="DN18" i="74"/>
  <c r="DX18" i="74" s="1"/>
  <c r="DM18" i="74"/>
  <c r="DW18" i="74" s="1"/>
  <c r="DN11" i="74"/>
  <c r="DX11" i="74" s="1"/>
  <c r="DN19" i="74"/>
  <c r="DX19" i="74" s="1"/>
  <c r="DN15" i="74"/>
  <c r="DX15" i="74" s="1"/>
  <c r="DM19" i="74"/>
  <c r="DW19" i="74" s="1"/>
  <c r="DN9" i="74"/>
  <c r="DX9" i="74" s="1"/>
  <c r="DN6" i="74"/>
  <c r="DX6" i="74" s="1"/>
  <c r="DN21" i="74"/>
  <c r="DX21" i="74" s="1"/>
  <c r="DM11" i="74"/>
  <c r="DW11" i="74" s="1"/>
  <c r="DN10" i="74"/>
  <c r="DX10" i="74" s="1"/>
  <c r="DN20" i="74"/>
  <c r="DX20" i="74" s="1"/>
  <c r="DN5" i="74"/>
  <c r="DX5" i="74" s="1"/>
  <c r="DM20" i="74"/>
  <c r="DW20" i="74" s="1"/>
  <c r="DN13" i="74"/>
  <c r="DX13" i="74" s="1"/>
  <c r="DM5" i="74"/>
  <c r="DW5" i="74" s="1"/>
  <c r="DM21" i="74"/>
  <c r="DW21" i="74" s="1"/>
  <c r="DN7" i="74"/>
  <c r="DX7" i="74" s="1"/>
  <c r="DM13" i="74"/>
  <c r="DW13" i="74" s="1"/>
  <c r="DM7" i="74"/>
  <c r="DW7" i="74" s="1"/>
  <c r="DN8" i="74"/>
  <c r="DX8" i="74" s="1"/>
  <c r="DM8" i="74"/>
  <c r="DW8" i="74" s="1"/>
  <c r="DN16" i="74"/>
  <c r="DX16" i="74" s="1"/>
  <c r="DM15" i="74"/>
  <c r="DW15" i="74" s="1"/>
  <c r="DM6" i="74"/>
  <c r="DW6" i="74" s="1"/>
  <c r="DM16" i="74"/>
  <c r="DW16" i="74" s="1"/>
  <c r="DM17" i="74"/>
  <c r="DW17" i="74" s="1"/>
  <c r="DM12" i="74"/>
  <c r="DW12" i="74" s="1"/>
  <c r="DN12" i="74"/>
  <c r="DX12" i="74" s="1"/>
  <c r="DN14" i="74"/>
  <c r="DX14" i="74" s="1"/>
  <c r="DM14" i="74"/>
  <c r="DW14" i="74" s="1"/>
  <c r="DN17" i="74"/>
  <c r="DX17" i="74" s="1"/>
  <c r="DM10" i="74"/>
  <c r="DW10" i="74" s="1"/>
  <c r="CS10" i="74"/>
  <c r="CR10" i="74"/>
  <c r="AS10" i="74" s="1"/>
  <c r="AT10" i="74" s="1"/>
  <c r="CR13" i="74"/>
  <c r="AS13" i="74" s="1"/>
  <c r="AT13" i="74" s="1"/>
  <c r="CS13" i="74"/>
  <c r="CR6" i="74"/>
  <c r="AS6" i="74" s="1"/>
  <c r="AT6" i="74" s="1"/>
  <c r="CS6" i="74"/>
  <c r="DC9" i="74"/>
  <c r="AM9" i="74" s="1"/>
  <c r="CR19" i="74"/>
  <c r="AS19" i="74" s="1"/>
  <c r="AT19" i="74" s="1"/>
  <c r="CS19" i="74"/>
  <c r="DC17" i="74"/>
  <c r="AM17" i="74" s="1"/>
  <c r="DC11" i="74"/>
  <c r="AM11" i="74" s="1"/>
  <c r="CR5" i="74"/>
  <c r="AS5" i="74" s="1"/>
  <c r="AT5" i="74" s="1"/>
  <c r="CS8" i="74"/>
  <c r="CR8" i="74"/>
  <c r="AS8" i="74" s="1"/>
  <c r="AT8" i="74" s="1"/>
  <c r="CR9" i="74"/>
  <c r="AS9" i="74" s="1"/>
  <c r="AT9" i="74" s="1"/>
  <c r="CR14" i="74"/>
  <c r="AS14" i="74" s="1"/>
  <c r="AT14" i="74" s="1"/>
  <c r="CR7" i="74"/>
  <c r="AS7" i="74" s="1"/>
  <c r="AT7" i="74" s="1"/>
  <c r="CS16" i="74"/>
  <c r="CR16" i="74"/>
  <c r="AS16" i="74" s="1"/>
  <c r="AT16" i="74" s="1"/>
  <c r="DT17" i="74"/>
  <c r="CR18" i="74"/>
  <c r="AS18" i="74" s="1"/>
  <c r="AT18" i="74" s="1"/>
  <c r="CR21" i="74"/>
  <c r="AS21" i="74" s="1"/>
  <c r="AT21" i="74" s="1"/>
  <c r="CS21" i="74"/>
  <c r="DC5" i="74"/>
  <c r="AM5" i="74" s="1"/>
  <c r="CS15" i="74"/>
  <c r="CR15" i="74"/>
  <c r="AS15" i="74" s="1"/>
  <c r="AT15" i="74" s="1"/>
  <c r="CR20" i="74"/>
  <c r="AS20" i="74" s="1"/>
  <c r="AT20" i="74" s="1"/>
  <c r="CS20" i="74"/>
  <c r="EW5" i="38"/>
  <c r="EZ5" i="38" s="1"/>
  <c r="DC5" i="38"/>
  <c r="DC23" i="38"/>
  <c r="DC13" i="38"/>
  <c r="CR19" i="38"/>
  <c r="CS19" i="38"/>
  <c r="DC27" i="38"/>
  <c r="DC31" i="38"/>
  <c r="DC11" i="38"/>
  <c r="AM11" i="38" s="1"/>
  <c r="CR16" i="38"/>
  <c r="CS29" i="38"/>
  <c r="CR29" i="38"/>
  <c r="CR30" i="38"/>
  <c r="CS30" i="38"/>
  <c r="CR27" i="38"/>
  <c r="CR33" i="38"/>
  <c r="CS33" i="38"/>
  <c r="CS16" i="38"/>
  <c r="CR6" i="38"/>
  <c r="AS6" i="38" s="1"/>
  <c r="AT6" i="38" s="1"/>
  <c r="CR5" i="38"/>
  <c r="AS5" i="38" s="1"/>
  <c r="AT5" i="38" s="1"/>
  <c r="DH34" i="38"/>
  <c r="DR34" i="38" s="1"/>
  <c r="DL31" i="38"/>
  <c r="DV31" i="38" s="1"/>
  <c r="DH30" i="38"/>
  <c r="DR30" i="38" s="1"/>
  <c r="DJ26" i="38"/>
  <c r="DT26" i="38" s="1"/>
  <c r="DF25" i="38"/>
  <c r="DP25" i="38" s="1"/>
  <c r="DJ22" i="38"/>
  <c r="DT22" i="38" s="1"/>
  <c r="DF21" i="38"/>
  <c r="DP21" i="38" s="1"/>
  <c r="DK18" i="38"/>
  <c r="DU18" i="38" s="1"/>
  <c r="DG17" i="38"/>
  <c r="DQ17" i="38" s="1"/>
  <c r="DF34" i="38"/>
  <c r="DP34" i="38" s="1"/>
  <c r="DJ31" i="38"/>
  <c r="DT31" i="38" s="1"/>
  <c r="DF30" i="38"/>
  <c r="DP30" i="38" s="1"/>
  <c r="DK27" i="38"/>
  <c r="DU27" i="38" s="1"/>
  <c r="DH26" i="38"/>
  <c r="DR26" i="38" s="1"/>
  <c r="DL23" i="38"/>
  <c r="DV23" i="38" s="1"/>
  <c r="DE34" i="38"/>
  <c r="DI31" i="38"/>
  <c r="DS31" i="38" s="1"/>
  <c r="DE30" i="38"/>
  <c r="DL32" i="38"/>
  <c r="DV32" i="38" s="1"/>
  <c r="DH31" i="38"/>
  <c r="DR31" i="38" s="1"/>
  <c r="DL11" i="38"/>
  <c r="DV11" i="38" s="1"/>
  <c r="DI27" i="38"/>
  <c r="DS27" i="38" s="1"/>
  <c r="DF26" i="38"/>
  <c r="DP26" i="38" s="1"/>
  <c r="DJ23" i="38"/>
  <c r="DT23" i="38" s="1"/>
  <c r="DF22" i="38"/>
  <c r="DP22" i="38" s="1"/>
  <c r="DK32" i="38"/>
  <c r="DU32" i="38" s="1"/>
  <c r="DG31" i="38"/>
  <c r="DQ31" i="38" s="1"/>
  <c r="DK11" i="38"/>
  <c r="DU11" i="38" s="1"/>
  <c r="DH27" i="38"/>
  <c r="DR27" i="38" s="1"/>
  <c r="DE26" i="38"/>
  <c r="DI23" i="38"/>
  <c r="DS23" i="38" s="1"/>
  <c r="DE22" i="38"/>
  <c r="DO22" i="38" s="1"/>
  <c r="DJ19" i="38"/>
  <c r="DT19" i="38" s="1"/>
  <c r="DF18" i="38"/>
  <c r="DP18" i="38" s="1"/>
  <c r="DK33" i="38"/>
  <c r="DU33" i="38" s="1"/>
  <c r="DK30" i="38"/>
  <c r="DU30" i="38" s="1"/>
  <c r="DI26" i="38"/>
  <c r="DS26" i="38" s="1"/>
  <c r="DL24" i="38"/>
  <c r="DV24" i="38" s="1"/>
  <c r="DE23" i="38"/>
  <c r="DO23" i="38" s="1"/>
  <c r="DF20" i="38"/>
  <c r="DP20" i="38" s="1"/>
  <c r="DK19" i="38"/>
  <c r="DK14" i="38"/>
  <c r="DU14" i="38" s="1"/>
  <c r="DG6" i="38"/>
  <c r="DQ6" i="38" s="1"/>
  <c r="DJ33" i="38"/>
  <c r="DT33" i="38" s="1"/>
  <c r="DJ30" i="38"/>
  <c r="DT30" i="38" s="1"/>
  <c r="DG26" i="38"/>
  <c r="DQ26" i="38" s="1"/>
  <c r="DK24" i="38"/>
  <c r="DU24" i="38" s="1"/>
  <c r="DI33" i="38"/>
  <c r="DS33" i="38" s="1"/>
  <c r="DI30" i="38"/>
  <c r="DS30" i="38" s="1"/>
  <c r="DJ24" i="38"/>
  <c r="DT24" i="38" s="1"/>
  <c r="DH19" i="38"/>
  <c r="DR19" i="38" s="1"/>
  <c r="DL18" i="38"/>
  <c r="DV18" i="38" s="1"/>
  <c r="DH33" i="38"/>
  <c r="DR33" i="38" s="1"/>
  <c r="DG30" i="38"/>
  <c r="DQ30" i="38" s="1"/>
  <c r="DL27" i="38"/>
  <c r="DV27" i="38" s="1"/>
  <c r="DI24" i="38"/>
  <c r="DS24" i="38" s="1"/>
  <c r="DG19" i="38"/>
  <c r="DQ19" i="38" s="1"/>
  <c r="DJ18" i="38"/>
  <c r="DT18" i="38" s="1"/>
  <c r="DG33" i="38"/>
  <c r="DQ33" i="38" s="1"/>
  <c r="DL29" i="38"/>
  <c r="DV29" i="38" s="1"/>
  <c r="DJ27" i="38"/>
  <c r="DT27" i="38" s="1"/>
  <c r="DH24" i="38"/>
  <c r="DR24" i="38" s="1"/>
  <c r="DF19" i="38"/>
  <c r="DP19" i="38" s="1"/>
  <c r="DI18" i="38"/>
  <c r="DS18" i="38" s="1"/>
  <c r="DL17" i="38"/>
  <c r="DV17" i="38" s="1"/>
  <c r="DK15" i="38"/>
  <c r="DU15" i="38" s="1"/>
  <c r="DG14" i="38"/>
  <c r="DQ14" i="38" s="1"/>
  <c r="DK13" i="38"/>
  <c r="DU13" i="38" s="1"/>
  <c r="DL34" i="38"/>
  <c r="DV34" i="38" s="1"/>
  <c r="DG29" i="38"/>
  <c r="DQ29" i="38" s="1"/>
  <c r="DK25" i="38"/>
  <c r="DU25" i="38" s="1"/>
  <c r="DH20" i="38"/>
  <c r="DR20" i="38" s="1"/>
  <c r="DK16" i="38"/>
  <c r="DU16" i="38" s="1"/>
  <c r="DH15" i="38"/>
  <c r="DR15" i="38" s="1"/>
  <c r="DJ14" i="38"/>
  <c r="DT14" i="38" s="1"/>
  <c r="DE13" i="38"/>
  <c r="DO13" i="38" s="1"/>
  <c r="DG5" i="38"/>
  <c r="DQ5" i="38" s="1"/>
  <c r="DK34" i="38"/>
  <c r="DU34" i="38" s="1"/>
  <c r="DF29" i="38"/>
  <c r="DP29" i="38" s="1"/>
  <c r="DJ25" i="38"/>
  <c r="DT25" i="38" s="1"/>
  <c r="DG20" i="38"/>
  <c r="DQ20" i="38" s="1"/>
  <c r="DI34" i="38"/>
  <c r="DS34" i="38" s="1"/>
  <c r="DK31" i="38"/>
  <c r="DU31" i="38" s="1"/>
  <c r="DH25" i="38"/>
  <c r="DR25" i="38" s="1"/>
  <c r="DK23" i="38"/>
  <c r="DU23" i="38" s="1"/>
  <c r="DI19" i="38"/>
  <c r="DS19" i="38" s="1"/>
  <c r="DH16" i="38"/>
  <c r="DR16" i="38" s="1"/>
  <c r="DE15" i="38"/>
  <c r="DO15" i="38" s="1"/>
  <c r="DF14" i="38"/>
  <c r="DP14" i="38" s="1"/>
  <c r="DK6" i="38"/>
  <c r="DU6" i="38" s="1"/>
  <c r="DG34" i="38"/>
  <c r="DQ34" i="38" s="1"/>
  <c r="DF31" i="38"/>
  <c r="DP31" i="38" s="1"/>
  <c r="DJ11" i="38"/>
  <c r="DT11" i="38" s="1"/>
  <c r="DG25" i="38"/>
  <c r="DQ25" i="38" s="1"/>
  <c r="DH23" i="38"/>
  <c r="DR23" i="38" s="1"/>
  <c r="DE19" i="38"/>
  <c r="DG16" i="38"/>
  <c r="DQ16" i="38" s="1"/>
  <c r="DE14" i="38"/>
  <c r="DL10" i="38"/>
  <c r="DV10" i="38" s="1"/>
  <c r="DJ6" i="38"/>
  <c r="DT6" i="38" s="1"/>
  <c r="DH29" i="38"/>
  <c r="DR29" i="38" s="1"/>
  <c r="DJ21" i="38"/>
  <c r="DT21" i="38" s="1"/>
  <c r="DE29" i="38"/>
  <c r="DI21" i="38"/>
  <c r="DS21" i="38" s="1"/>
  <c r="DL19" i="38"/>
  <c r="DV19" i="38" s="1"/>
  <c r="DL20" i="38"/>
  <c r="DV20" i="38" s="1"/>
  <c r="DF16" i="38"/>
  <c r="DP16" i="38" s="1"/>
  <c r="DL5" i="38"/>
  <c r="DV5" i="38" s="1"/>
  <c r="DK20" i="38"/>
  <c r="DU20" i="38" s="1"/>
  <c r="DE16" i="38"/>
  <c r="DJ15" i="38"/>
  <c r="DT15" i="38" s="1"/>
  <c r="DL30" i="38"/>
  <c r="DV30" i="38" s="1"/>
  <c r="DH21" i="38"/>
  <c r="DR21" i="38" s="1"/>
  <c r="DG32" i="38"/>
  <c r="DQ32" i="38" s="1"/>
  <c r="DF32" i="38"/>
  <c r="DP32" i="38" s="1"/>
  <c r="DJ32" i="38"/>
  <c r="DT32" i="38" s="1"/>
  <c r="DG21" i="38"/>
  <c r="DQ21" i="38" s="1"/>
  <c r="DL16" i="38"/>
  <c r="DV16" i="38" s="1"/>
  <c r="DL15" i="38"/>
  <c r="DV15" i="38" s="1"/>
  <c r="DK10" i="38"/>
  <c r="DU10" i="38" s="1"/>
  <c r="DI32" i="38"/>
  <c r="DS32" i="38" s="1"/>
  <c r="DE31" i="38"/>
  <c r="DO31" i="38" s="1"/>
  <c r="DE21" i="38"/>
  <c r="DK17" i="38"/>
  <c r="DU17" i="38" s="1"/>
  <c r="DJ16" i="38"/>
  <c r="DT16" i="38" s="1"/>
  <c r="DH32" i="38"/>
  <c r="DR32" i="38" s="1"/>
  <c r="DJ17" i="38"/>
  <c r="DT17" i="38" s="1"/>
  <c r="DI16" i="38"/>
  <c r="DS16" i="38" s="1"/>
  <c r="DI17" i="38"/>
  <c r="DS17" i="38" s="1"/>
  <c r="DH17" i="38"/>
  <c r="DR17" i="38" s="1"/>
  <c r="DF33" i="38"/>
  <c r="DP33" i="38" s="1"/>
  <c r="DI20" i="38"/>
  <c r="DS20" i="38" s="1"/>
  <c r="DH18" i="38"/>
  <c r="DR18" i="38" s="1"/>
  <c r="DE17" i="38"/>
  <c r="DG15" i="38"/>
  <c r="DQ15" i="38" s="1"/>
  <c r="DL13" i="38"/>
  <c r="DV13" i="38" s="1"/>
  <c r="DH10" i="38"/>
  <c r="DR10" i="38" s="1"/>
  <c r="DI5" i="38"/>
  <c r="DS5" i="38" s="1"/>
  <c r="DE33" i="38"/>
  <c r="DJ29" i="38"/>
  <c r="DT29" i="38" s="1"/>
  <c r="DE18" i="38"/>
  <c r="DH13" i="38"/>
  <c r="DR13" i="38" s="1"/>
  <c r="DE6" i="38"/>
  <c r="DF13" i="38"/>
  <c r="DP13" i="38" s="1"/>
  <c r="DI11" i="38"/>
  <c r="DS11" i="38" s="1"/>
  <c r="DH14" i="38"/>
  <c r="DR14" i="38" s="1"/>
  <c r="DH11" i="38"/>
  <c r="DR11" i="38" s="1"/>
  <c r="DE27" i="38"/>
  <c r="DO27" i="38" s="1"/>
  <c r="DL26" i="38"/>
  <c r="DV26" i="38" s="1"/>
  <c r="DL6" i="38"/>
  <c r="DV6" i="38" s="1"/>
  <c r="DF5" i="38"/>
  <c r="DP5" i="38" s="1"/>
  <c r="DI6" i="38"/>
  <c r="DS6" i="38" s="1"/>
  <c r="DE5" i="38"/>
  <c r="DO5" i="38" s="1"/>
  <c r="DI29" i="38"/>
  <c r="DS29" i="38" s="1"/>
  <c r="DG13" i="38"/>
  <c r="DQ13" i="38" s="1"/>
  <c r="DI14" i="38"/>
  <c r="DS14" i="38" s="1"/>
  <c r="DG24" i="38"/>
  <c r="DQ24" i="38" s="1"/>
  <c r="DE20" i="38"/>
  <c r="DJ34" i="38"/>
  <c r="DT34" i="38" s="1"/>
  <c r="DF17" i="38"/>
  <c r="DP17" i="38" s="1"/>
  <c r="DJ10" i="38"/>
  <c r="DT10" i="38" s="1"/>
  <c r="DL22" i="38"/>
  <c r="DV22" i="38" s="1"/>
  <c r="DI10" i="38"/>
  <c r="DS10" i="38" s="1"/>
  <c r="DK22" i="38"/>
  <c r="DU22" i="38" s="1"/>
  <c r="DL21" i="38"/>
  <c r="DV21" i="38" s="1"/>
  <c r="DG10" i="38"/>
  <c r="DQ10" i="38" s="1"/>
  <c r="DI22" i="38"/>
  <c r="DS22" i="38" s="1"/>
  <c r="DK21" i="38"/>
  <c r="DU21" i="38" s="1"/>
  <c r="DF10" i="38"/>
  <c r="DP10" i="38" s="1"/>
  <c r="DH22" i="38"/>
  <c r="DR22" i="38" s="1"/>
  <c r="DJ20" i="38"/>
  <c r="DT20" i="38" s="1"/>
  <c r="DE10" i="38"/>
  <c r="DG23" i="38"/>
  <c r="DQ23" i="38" s="1"/>
  <c r="DG22" i="38"/>
  <c r="DQ22" i="38" s="1"/>
  <c r="DE32" i="38"/>
  <c r="DL25" i="38"/>
  <c r="DV25" i="38" s="1"/>
  <c r="DF24" i="38"/>
  <c r="DP24" i="38" s="1"/>
  <c r="DF23" i="38"/>
  <c r="DP23" i="38" s="1"/>
  <c r="DL14" i="38"/>
  <c r="DV14" i="38" s="1"/>
  <c r="DK5" i="38"/>
  <c r="DU5" i="38" s="1"/>
  <c r="DG27" i="38"/>
  <c r="DQ27" i="38" s="1"/>
  <c r="DI25" i="38"/>
  <c r="DS25" i="38" s="1"/>
  <c r="DE24" i="38"/>
  <c r="DJ5" i="38"/>
  <c r="DT5" i="38" s="1"/>
  <c r="DF27" i="38"/>
  <c r="DP27" i="38" s="1"/>
  <c r="DE25" i="38"/>
  <c r="DH5" i="38"/>
  <c r="DR5" i="38" s="1"/>
  <c r="DG11" i="38"/>
  <c r="DQ11" i="38" s="1"/>
  <c r="DK26" i="38"/>
  <c r="DU26" i="38" s="1"/>
  <c r="DF11" i="38"/>
  <c r="DI15" i="38"/>
  <c r="DS15" i="38" s="1"/>
  <c r="DJ13" i="38"/>
  <c r="DT13" i="38" s="1"/>
  <c r="DH6" i="38"/>
  <c r="DR6" i="38" s="1"/>
  <c r="DL33" i="38"/>
  <c r="DV33" i="38" s="1"/>
  <c r="DK29" i="38"/>
  <c r="DU29" i="38" s="1"/>
  <c r="DE11" i="38"/>
  <c r="DO11" i="38" s="1"/>
  <c r="DG18" i="38"/>
  <c r="DQ18" i="38" s="1"/>
  <c r="DF15" i="38"/>
  <c r="DP15" i="38" s="1"/>
  <c r="DI13" i="38"/>
  <c r="DS13" i="38" s="1"/>
  <c r="DF6" i="38"/>
  <c r="DP6" i="38" s="1"/>
  <c r="DU19" i="38"/>
  <c r="CR26" i="38"/>
  <c r="CS26" i="38"/>
  <c r="CR17" i="38"/>
  <c r="DP11" i="38"/>
  <c r="CR31" i="38"/>
  <c r="CS32" i="38"/>
  <c r="CR32" i="38"/>
  <c r="CR20" i="38"/>
  <c r="CS20" i="38"/>
  <c r="CS6" i="38"/>
  <c r="DM27" i="38"/>
  <c r="DW27" i="38" s="1"/>
  <c r="DN23" i="38"/>
  <c r="DX23" i="38" s="1"/>
  <c r="DN32" i="38"/>
  <c r="DX32" i="38" s="1"/>
  <c r="DN11" i="38"/>
  <c r="DX11" i="38" s="1"/>
  <c r="DM32" i="38"/>
  <c r="DW32" i="38" s="1"/>
  <c r="DM11" i="38"/>
  <c r="DW11" i="38" s="1"/>
  <c r="DN24" i="38"/>
  <c r="DX24" i="38" s="1"/>
  <c r="DM24" i="38"/>
  <c r="DW24" i="38" s="1"/>
  <c r="DM20" i="38"/>
  <c r="DW20" i="38" s="1"/>
  <c r="DN16" i="38"/>
  <c r="DX16" i="38" s="1"/>
  <c r="DN18" i="38"/>
  <c r="DX18" i="38" s="1"/>
  <c r="DN29" i="38"/>
  <c r="DX29" i="38" s="1"/>
  <c r="DN27" i="38"/>
  <c r="DX27" i="38" s="1"/>
  <c r="DN17" i="38"/>
  <c r="DX17" i="38" s="1"/>
  <c r="DM15" i="38"/>
  <c r="DW15" i="38" s="1"/>
  <c r="DM29" i="38"/>
  <c r="DW29" i="38" s="1"/>
  <c r="DN19" i="38"/>
  <c r="DX19" i="38" s="1"/>
  <c r="DN6" i="38"/>
  <c r="DX6" i="38" s="1"/>
  <c r="DN31" i="38"/>
  <c r="DX31" i="38" s="1"/>
  <c r="DM10" i="38"/>
  <c r="DW10" i="38" s="1"/>
  <c r="DN33" i="38"/>
  <c r="DX33" i="38" s="1"/>
  <c r="DM18" i="38"/>
  <c r="DW18" i="38" s="1"/>
  <c r="DN30" i="38"/>
  <c r="DX30" i="38" s="1"/>
  <c r="DM19" i="38"/>
  <c r="DW19" i="38" s="1"/>
  <c r="DM30" i="38"/>
  <c r="DW30" i="38" s="1"/>
  <c r="DM16" i="38"/>
  <c r="DW16" i="38" s="1"/>
  <c r="DN10" i="38"/>
  <c r="DX10" i="38" s="1"/>
  <c r="DM31" i="38"/>
  <c r="DW31" i="38" s="1"/>
  <c r="DM17" i="38"/>
  <c r="DW17" i="38" s="1"/>
  <c r="DM33" i="38"/>
  <c r="DN5" i="38"/>
  <c r="DX5" i="38" s="1"/>
  <c r="DN20" i="38"/>
  <c r="DX20" i="38" s="1"/>
  <c r="DN15" i="38"/>
  <c r="DX15" i="38" s="1"/>
  <c r="DM5" i="38"/>
  <c r="DW5" i="38" s="1"/>
  <c r="DN25" i="38"/>
  <c r="DX25" i="38" s="1"/>
  <c r="DN22" i="38"/>
  <c r="DX22" i="38" s="1"/>
  <c r="DM6" i="38"/>
  <c r="DW6" i="38" s="1"/>
  <c r="DN13" i="38"/>
  <c r="DX13" i="38" s="1"/>
  <c r="DN34" i="38"/>
  <c r="DX34" i="38" s="1"/>
  <c r="DM34" i="38"/>
  <c r="DW34" i="38" s="1"/>
  <c r="DM25" i="38"/>
  <c r="DW25" i="38" s="1"/>
  <c r="DM14" i="38"/>
  <c r="DW14" i="38" s="1"/>
  <c r="DM22" i="38"/>
  <c r="DW22" i="38" s="1"/>
  <c r="DN21" i="38"/>
  <c r="DX21" i="38" s="1"/>
  <c r="DM21" i="38"/>
  <c r="DW21" i="38" s="1"/>
  <c r="DM23" i="38"/>
  <c r="DW23" i="38" s="1"/>
  <c r="DN14" i="38"/>
  <c r="DX14" i="38" s="1"/>
  <c r="DN26" i="38"/>
  <c r="DX26" i="38" s="1"/>
  <c r="DM26" i="38"/>
  <c r="DW26" i="38" s="1"/>
  <c r="DM13" i="38"/>
  <c r="DW13" i="38" s="1"/>
  <c r="CS21" i="38"/>
  <c r="CR21" i="38"/>
  <c r="CR23" i="38"/>
  <c r="CR15" i="38"/>
  <c r="DC15" i="38"/>
  <c r="CS18" i="38"/>
  <c r="CR18" i="38"/>
  <c r="CR14" i="38"/>
  <c r="CS14" i="38"/>
  <c r="CS10" i="38"/>
  <c r="CR10" i="38"/>
  <c r="AS10" i="38" s="1"/>
  <c r="AT10" i="38" s="1"/>
  <c r="CR11" i="38"/>
  <c r="AS11" i="38" s="1"/>
  <c r="AT11" i="38" s="1"/>
  <c r="DW33" i="38"/>
  <c r="CR34" i="38"/>
  <c r="CS34" i="38"/>
  <c r="CR24" i="38"/>
  <c r="CS24" i="38"/>
  <c r="CR13" i="38"/>
  <c r="CR22" i="38"/>
  <c r="CS17" i="38"/>
  <c r="CS25" i="38"/>
  <c r="CR25" i="38"/>
  <c r="DC22" i="38"/>
  <c r="DC17" i="73"/>
  <c r="DC27" i="73"/>
  <c r="DC12" i="73"/>
  <c r="CS28" i="73"/>
  <c r="CR28" i="73"/>
  <c r="CR20" i="73"/>
  <c r="CS23" i="73"/>
  <c r="CR23" i="73"/>
  <c r="DC22" i="73"/>
  <c r="CS19" i="73"/>
  <c r="DC29" i="73"/>
  <c r="CR25" i="73"/>
  <c r="CR22" i="73"/>
  <c r="DC34" i="73"/>
  <c r="CS31" i="73"/>
  <c r="CR31" i="73"/>
  <c r="CR16" i="73"/>
  <c r="CR24" i="73"/>
  <c r="CS24" i="73"/>
  <c r="CS21" i="73"/>
  <c r="DC20" i="73"/>
  <c r="CR30" i="73"/>
  <c r="CR33" i="73"/>
  <c r="DC25" i="73"/>
  <c r="CS32" i="73"/>
  <c r="CR32" i="73"/>
  <c r="DP20" i="73"/>
  <c r="DC18" i="73"/>
  <c r="CR18" i="73"/>
  <c r="CR12" i="73"/>
  <c r="CR29" i="73"/>
  <c r="CS16" i="73"/>
  <c r="CR5" i="73"/>
  <c r="AS5" i="73" s="1"/>
  <c r="AT5" i="73" s="1"/>
  <c r="CS5" i="73"/>
  <c r="CS14" i="73"/>
  <c r="CR14" i="73"/>
  <c r="DK32" i="73"/>
  <c r="DU32" i="73" s="1"/>
  <c r="DG31" i="73"/>
  <c r="DQ31" i="73" s="1"/>
  <c r="DJ33" i="73"/>
  <c r="DT33" i="73" s="1"/>
  <c r="DF32" i="73"/>
  <c r="DP32" i="73" s="1"/>
  <c r="DJ29" i="73"/>
  <c r="DT29" i="73" s="1"/>
  <c r="DF28" i="73"/>
  <c r="DP28" i="73" s="1"/>
  <c r="DL25" i="73"/>
  <c r="DV25" i="73" s="1"/>
  <c r="DH24" i="73"/>
  <c r="DR24" i="73" s="1"/>
  <c r="DL21" i="73"/>
  <c r="DV21" i="73" s="1"/>
  <c r="DH20" i="73"/>
  <c r="DR20" i="73" s="1"/>
  <c r="DE19" i="73"/>
  <c r="DL34" i="73"/>
  <c r="DV34" i="73" s="1"/>
  <c r="DH33" i="73"/>
  <c r="DR33" i="73" s="1"/>
  <c r="DL30" i="73"/>
  <c r="DV30" i="73" s="1"/>
  <c r="DH29" i="73"/>
  <c r="DR29" i="73" s="1"/>
  <c r="DJ25" i="73"/>
  <c r="DT25" i="73" s="1"/>
  <c r="DK34" i="73"/>
  <c r="DU34" i="73" s="1"/>
  <c r="DG33" i="73"/>
  <c r="DQ33" i="73" s="1"/>
  <c r="DK30" i="73"/>
  <c r="DU30" i="73" s="1"/>
  <c r="DJ34" i="73"/>
  <c r="DT34" i="73" s="1"/>
  <c r="DF33" i="73"/>
  <c r="DP33" i="73" s="1"/>
  <c r="DJ30" i="73"/>
  <c r="DT30" i="73" s="1"/>
  <c r="DF29" i="73"/>
  <c r="DP29" i="73" s="1"/>
  <c r="DL26" i="73"/>
  <c r="DV26" i="73" s="1"/>
  <c r="DH25" i="73"/>
  <c r="DR25" i="73" s="1"/>
  <c r="DL22" i="73"/>
  <c r="DV22" i="73" s="1"/>
  <c r="DH21" i="73"/>
  <c r="DR21" i="73" s="1"/>
  <c r="DI17" i="73"/>
  <c r="DS17" i="73" s="1"/>
  <c r="DF34" i="73"/>
  <c r="DP34" i="73" s="1"/>
  <c r="DL33" i="73"/>
  <c r="DV33" i="73" s="1"/>
  <c r="DG30" i="73"/>
  <c r="DQ30" i="73" s="1"/>
  <c r="DE21" i="73"/>
  <c r="DI20" i="73"/>
  <c r="DS20" i="73" s="1"/>
  <c r="DJ16" i="73"/>
  <c r="DT16" i="73" s="1"/>
  <c r="DF15" i="73"/>
  <c r="DP15" i="73" s="1"/>
  <c r="DF13" i="73"/>
  <c r="DP13" i="73" s="1"/>
  <c r="DE34" i="73"/>
  <c r="DO34" i="73" s="1"/>
  <c r="DK33" i="73"/>
  <c r="DU33" i="73" s="1"/>
  <c r="DF30" i="73"/>
  <c r="DP30" i="73" s="1"/>
  <c r="DL24" i="73"/>
  <c r="DV24" i="73" s="1"/>
  <c r="DG20" i="73"/>
  <c r="DQ20" i="73" s="1"/>
  <c r="DL19" i="73"/>
  <c r="DV19" i="73" s="1"/>
  <c r="DI16" i="73"/>
  <c r="DS16" i="73" s="1"/>
  <c r="DE15" i="73"/>
  <c r="DE13" i="73"/>
  <c r="DI33" i="73"/>
  <c r="DS33" i="73" s="1"/>
  <c r="DE30" i="73"/>
  <c r="DK24" i="73"/>
  <c r="DU24" i="73" s="1"/>
  <c r="DF20" i="73"/>
  <c r="DK19" i="73"/>
  <c r="DU19" i="73" s="1"/>
  <c r="DH16" i="73"/>
  <c r="DR16" i="73" s="1"/>
  <c r="DE33" i="73"/>
  <c r="DK25" i="73"/>
  <c r="DU25" i="73" s="1"/>
  <c r="DJ24" i="73"/>
  <c r="DT24" i="73" s="1"/>
  <c r="DE20" i="73"/>
  <c r="DO20" i="73" s="1"/>
  <c r="DJ19" i="73"/>
  <c r="DT19" i="73" s="1"/>
  <c r="DG16" i="73"/>
  <c r="DQ16" i="73" s="1"/>
  <c r="DL32" i="73"/>
  <c r="DV32" i="73" s="1"/>
  <c r="DL27" i="73"/>
  <c r="DV27" i="73" s="1"/>
  <c r="DK26" i="73"/>
  <c r="DU26" i="73" s="1"/>
  <c r="DI25" i="73"/>
  <c r="DS25" i="73" s="1"/>
  <c r="DI24" i="73"/>
  <c r="DS24" i="73" s="1"/>
  <c r="DL23" i="73"/>
  <c r="DV23" i="73" s="1"/>
  <c r="DI19" i="73"/>
  <c r="DS19" i="73" s="1"/>
  <c r="DL18" i="73"/>
  <c r="DV18" i="73" s="1"/>
  <c r="DF16" i="73"/>
  <c r="DP16" i="73" s="1"/>
  <c r="DJ32" i="73"/>
  <c r="DT32" i="73" s="1"/>
  <c r="DL28" i="73"/>
  <c r="DV28" i="73" s="1"/>
  <c r="DK27" i="73"/>
  <c r="DU27" i="73" s="1"/>
  <c r="DJ26" i="73"/>
  <c r="DT26" i="73" s="1"/>
  <c r="DG25" i="73"/>
  <c r="DQ25" i="73" s="1"/>
  <c r="DG24" i="73"/>
  <c r="DQ24" i="73" s="1"/>
  <c r="DK23" i="73"/>
  <c r="DU23" i="73" s="1"/>
  <c r="DH19" i="73"/>
  <c r="DR19" i="73" s="1"/>
  <c r="DK18" i="73"/>
  <c r="DU18" i="73" s="1"/>
  <c r="DE16" i="73"/>
  <c r="DE32" i="73"/>
  <c r="DK31" i="73"/>
  <c r="DU31" i="73" s="1"/>
  <c r="DK29" i="73"/>
  <c r="DU29" i="73" s="1"/>
  <c r="DH28" i="73"/>
  <c r="DR28" i="73" s="1"/>
  <c r="DG27" i="73"/>
  <c r="DQ27" i="73" s="1"/>
  <c r="DF26" i="73"/>
  <c r="DP26" i="73" s="1"/>
  <c r="DG23" i="73"/>
  <c r="DQ23" i="73" s="1"/>
  <c r="DJ22" i="73"/>
  <c r="DT22" i="73" s="1"/>
  <c r="DG18" i="73"/>
  <c r="DQ18" i="73" s="1"/>
  <c r="DK17" i="73"/>
  <c r="DU17" i="73" s="1"/>
  <c r="DH34" i="73"/>
  <c r="DR34" i="73" s="1"/>
  <c r="DE29" i="73"/>
  <c r="DO29" i="73" s="1"/>
  <c r="DK28" i="73"/>
  <c r="DU28" i="73" s="1"/>
  <c r="DF25" i="73"/>
  <c r="DP25" i="73" s="1"/>
  <c r="DE23" i="73"/>
  <c r="DK20" i="73"/>
  <c r="DU20" i="73" s="1"/>
  <c r="DH18" i="73"/>
  <c r="DR18" i="73" s="1"/>
  <c r="DE12" i="73"/>
  <c r="DO12" i="73" s="1"/>
  <c r="DH5" i="73"/>
  <c r="DR5" i="73" s="1"/>
  <c r="DG34" i="73"/>
  <c r="DJ28" i="73"/>
  <c r="DT28" i="73" s="1"/>
  <c r="DE25" i="73"/>
  <c r="DO25" i="73" s="1"/>
  <c r="DJ20" i="73"/>
  <c r="DT20" i="73" s="1"/>
  <c r="DF18" i="73"/>
  <c r="DP18" i="73" s="1"/>
  <c r="DG5" i="73"/>
  <c r="DI28" i="73"/>
  <c r="DS28" i="73" s="1"/>
  <c r="DK22" i="73"/>
  <c r="DU22" i="73" s="1"/>
  <c r="DE18" i="73"/>
  <c r="DO18" i="73" s="1"/>
  <c r="DE28" i="73"/>
  <c r="DH22" i="73"/>
  <c r="DR22" i="73" s="1"/>
  <c r="DL16" i="73"/>
  <c r="DV16" i="73" s="1"/>
  <c r="DK15" i="73"/>
  <c r="DU15" i="73" s="1"/>
  <c r="DK14" i="73"/>
  <c r="DU14" i="73" s="1"/>
  <c r="DJ27" i="73"/>
  <c r="DT27" i="73" s="1"/>
  <c r="DG22" i="73"/>
  <c r="DQ22" i="73" s="1"/>
  <c r="DK16" i="73"/>
  <c r="DU16" i="73" s="1"/>
  <c r="DJ15" i="73"/>
  <c r="DT15" i="73" s="1"/>
  <c r="DJ14" i="73"/>
  <c r="DT14" i="73" s="1"/>
  <c r="DG32" i="73"/>
  <c r="DQ32" i="73" s="1"/>
  <c r="DE22" i="73"/>
  <c r="DO22" i="73" s="1"/>
  <c r="DH12" i="73"/>
  <c r="DR12" i="73" s="1"/>
  <c r="DE5" i="73"/>
  <c r="DI26" i="73"/>
  <c r="DS26" i="73" s="1"/>
  <c r="DG19" i="73"/>
  <c r="DQ19" i="73" s="1"/>
  <c r="DG12" i="73"/>
  <c r="DQ12" i="73" s="1"/>
  <c r="DL31" i="73"/>
  <c r="DV31" i="73" s="1"/>
  <c r="DL29" i="73"/>
  <c r="DV29" i="73" s="1"/>
  <c r="DG26" i="73"/>
  <c r="DQ26" i="73" s="1"/>
  <c r="DJ23" i="73"/>
  <c r="DT23" i="73" s="1"/>
  <c r="DK13" i="73"/>
  <c r="DU13" i="73" s="1"/>
  <c r="DJ13" i="73"/>
  <c r="DT13" i="73" s="1"/>
  <c r="DJ31" i="73"/>
  <c r="DT31" i="73" s="1"/>
  <c r="DI29" i="73"/>
  <c r="DS29" i="73" s="1"/>
  <c r="DE26" i="73"/>
  <c r="DI23" i="73"/>
  <c r="DS23" i="73" s="1"/>
  <c r="DI31" i="73"/>
  <c r="DS31" i="73" s="1"/>
  <c r="DG29" i="73"/>
  <c r="DQ29" i="73" s="1"/>
  <c r="DH23" i="73"/>
  <c r="DR23" i="73" s="1"/>
  <c r="DL20" i="73"/>
  <c r="DV20" i="73" s="1"/>
  <c r="DI13" i="73"/>
  <c r="DS13" i="73" s="1"/>
  <c r="DH31" i="73"/>
  <c r="DR31" i="73" s="1"/>
  <c r="DI27" i="73"/>
  <c r="DS27" i="73" s="1"/>
  <c r="DF24" i="73"/>
  <c r="DP24" i="73" s="1"/>
  <c r="DF23" i="73"/>
  <c r="DP23" i="73" s="1"/>
  <c r="DH13" i="73"/>
  <c r="DR13" i="73" s="1"/>
  <c r="DH32" i="73"/>
  <c r="DR32" i="73" s="1"/>
  <c r="DG21" i="73"/>
  <c r="DQ21" i="73" s="1"/>
  <c r="DL15" i="73"/>
  <c r="DV15" i="73" s="1"/>
  <c r="DF12" i="73"/>
  <c r="DP12" i="73" s="1"/>
  <c r="DF5" i="73"/>
  <c r="DP5" i="73" s="1"/>
  <c r="DF21" i="73"/>
  <c r="DP21" i="73" s="1"/>
  <c r="DI15" i="73"/>
  <c r="DS15" i="73" s="1"/>
  <c r="DG15" i="73"/>
  <c r="DQ15" i="73" s="1"/>
  <c r="DJ17" i="73"/>
  <c r="DT17" i="73" s="1"/>
  <c r="DL14" i="73"/>
  <c r="DV14" i="73" s="1"/>
  <c r="DH17" i="73"/>
  <c r="DR17" i="73" s="1"/>
  <c r="DI34" i="73"/>
  <c r="DS34" i="73" s="1"/>
  <c r="DH15" i="73"/>
  <c r="DR15" i="73" s="1"/>
  <c r="DH26" i="73"/>
  <c r="DR26" i="73" s="1"/>
  <c r="DL13" i="73"/>
  <c r="DV13" i="73" s="1"/>
  <c r="DE24" i="73"/>
  <c r="DF19" i="73"/>
  <c r="DP19" i="73" s="1"/>
  <c r="DG13" i="73"/>
  <c r="DQ13" i="73" s="1"/>
  <c r="DL17" i="73"/>
  <c r="DV17" i="73" s="1"/>
  <c r="DJ18" i="73"/>
  <c r="DT18" i="73" s="1"/>
  <c r="DI18" i="73"/>
  <c r="DS18" i="73" s="1"/>
  <c r="DI14" i="73"/>
  <c r="DS14" i="73" s="1"/>
  <c r="DI22" i="73"/>
  <c r="DS22" i="73" s="1"/>
  <c r="DL12" i="73"/>
  <c r="DV12" i="73" s="1"/>
  <c r="DK12" i="73"/>
  <c r="DU12" i="73" s="1"/>
  <c r="DG28" i="73"/>
  <c r="DQ28" i="73" s="1"/>
  <c r="DI21" i="73"/>
  <c r="DS21" i="73" s="1"/>
  <c r="DF22" i="73"/>
  <c r="DP22" i="73" s="1"/>
  <c r="DG17" i="73"/>
  <c r="DQ17" i="73" s="1"/>
  <c r="DH14" i="73"/>
  <c r="DR14" i="73" s="1"/>
  <c r="DF14" i="73"/>
  <c r="DP14" i="73" s="1"/>
  <c r="DF31" i="73"/>
  <c r="DP31" i="73" s="1"/>
  <c r="DF17" i="73"/>
  <c r="DP17" i="73" s="1"/>
  <c r="DL5" i="73"/>
  <c r="DI32" i="73"/>
  <c r="DS32" i="73" s="1"/>
  <c r="DE17" i="73"/>
  <c r="DO17" i="73" s="1"/>
  <c r="DK5" i="73"/>
  <c r="DU5" i="73" s="1"/>
  <c r="DH27" i="73"/>
  <c r="DR27" i="73" s="1"/>
  <c r="DJ5" i="73"/>
  <c r="DT5" i="73" s="1"/>
  <c r="DI30" i="73"/>
  <c r="DS30" i="73" s="1"/>
  <c r="DF27" i="73"/>
  <c r="DP27" i="73" s="1"/>
  <c r="DI5" i="73"/>
  <c r="DS5" i="73" s="1"/>
  <c r="DH30" i="73"/>
  <c r="DR30" i="73" s="1"/>
  <c r="DE27" i="73"/>
  <c r="DO27" i="73" s="1"/>
  <c r="DG14" i="73"/>
  <c r="DQ14" i="73" s="1"/>
  <c r="DK21" i="73"/>
  <c r="DU21" i="73" s="1"/>
  <c r="DE14" i="73"/>
  <c r="DJ21" i="73"/>
  <c r="DT21" i="73" s="1"/>
  <c r="DJ12" i="73"/>
  <c r="DT12" i="73" s="1"/>
  <c r="DI12" i="73"/>
  <c r="DS12" i="73" s="1"/>
  <c r="DE31" i="73"/>
  <c r="CS13" i="73"/>
  <c r="CR13" i="73"/>
  <c r="CR27" i="73"/>
  <c r="CR17" i="73"/>
  <c r="DV5" i="73"/>
  <c r="DQ34" i="73"/>
  <c r="DN34" i="73"/>
  <c r="DX34" i="73" s="1"/>
  <c r="DN30" i="73"/>
  <c r="DX30" i="73" s="1"/>
  <c r="DM17" i="73"/>
  <c r="DW17" i="73" s="1"/>
  <c r="DM34" i="73"/>
  <c r="DW34" i="73" s="1"/>
  <c r="DN26" i="73"/>
  <c r="DX26" i="73" s="1"/>
  <c r="DN31" i="73"/>
  <c r="DX31" i="73" s="1"/>
  <c r="DM18" i="73"/>
  <c r="DW18" i="73" s="1"/>
  <c r="DM24" i="73"/>
  <c r="DW24" i="73" s="1"/>
  <c r="DM19" i="73"/>
  <c r="DW19" i="73" s="1"/>
  <c r="DN25" i="73"/>
  <c r="DX25" i="73" s="1"/>
  <c r="DN32" i="73"/>
  <c r="DX32" i="73" s="1"/>
  <c r="DN27" i="73"/>
  <c r="DX27" i="73" s="1"/>
  <c r="DM25" i="73"/>
  <c r="DW25" i="73" s="1"/>
  <c r="DN23" i="73"/>
  <c r="DX23" i="73" s="1"/>
  <c r="DM32" i="73"/>
  <c r="DW32" i="73" s="1"/>
  <c r="DN28" i="73"/>
  <c r="DX28" i="73" s="1"/>
  <c r="DM27" i="73"/>
  <c r="DW27" i="73" s="1"/>
  <c r="DM26" i="73"/>
  <c r="DW26" i="73" s="1"/>
  <c r="DM23" i="73"/>
  <c r="DW23" i="73" s="1"/>
  <c r="DN18" i="73"/>
  <c r="DX18" i="73" s="1"/>
  <c r="DM28" i="73"/>
  <c r="DW28" i="73" s="1"/>
  <c r="DN14" i="73"/>
  <c r="DX14" i="73" s="1"/>
  <c r="DM14" i="73"/>
  <c r="DW14" i="73" s="1"/>
  <c r="DN21" i="73"/>
  <c r="DX21" i="73" s="1"/>
  <c r="DN22" i="73"/>
  <c r="DX22" i="73" s="1"/>
  <c r="DM22" i="73"/>
  <c r="DW22" i="73" s="1"/>
  <c r="DN15" i="73"/>
  <c r="DX15" i="73" s="1"/>
  <c r="DN16" i="73"/>
  <c r="DX16" i="73" s="1"/>
  <c r="DM15" i="73"/>
  <c r="DW15" i="73" s="1"/>
  <c r="DN24" i="73"/>
  <c r="DX24" i="73" s="1"/>
  <c r="DN17" i="73"/>
  <c r="DX17" i="73" s="1"/>
  <c r="DN19" i="73"/>
  <c r="DX19" i="73" s="1"/>
  <c r="DN13" i="73"/>
  <c r="DX13" i="73" s="1"/>
  <c r="DN29" i="73"/>
  <c r="DX29" i="73" s="1"/>
  <c r="DM13" i="73"/>
  <c r="DW13" i="73" s="1"/>
  <c r="DN20" i="73"/>
  <c r="DX20" i="73" s="1"/>
  <c r="DM20" i="73"/>
  <c r="DW20" i="73" s="1"/>
  <c r="DM16" i="73"/>
  <c r="DW16" i="73" s="1"/>
  <c r="DM29" i="73"/>
  <c r="DW29" i="73" s="1"/>
  <c r="DN33" i="73"/>
  <c r="DX33" i="73" s="1"/>
  <c r="DM12" i="73"/>
  <c r="DW12" i="73" s="1"/>
  <c r="DM33" i="73"/>
  <c r="DW33" i="73" s="1"/>
  <c r="DM21" i="73"/>
  <c r="DW21" i="73" s="1"/>
  <c r="DN5" i="73"/>
  <c r="DX5" i="73" s="1"/>
  <c r="DM5" i="73"/>
  <c r="DW5" i="73" s="1"/>
  <c r="DM30" i="73"/>
  <c r="DW30" i="73" s="1"/>
  <c r="DN12" i="73"/>
  <c r="DX12" i="73" s="1"/>
  <c r="DM31" i="73"/>
  <c r="DW31" i="73" s="1"/>
  <c r="CS33" i="73"/>
  <c r="CR34" i="73"/>
  <c r="CS26" i="73"/>
  <c r="CR26" i="73"/>
  <c r="CS15" i="73"/>
  <c r="CR15" i="73"/>
  <c r="CS30" i="73"/>
  <c r="DR20" i="72"/>
  <c r="EC20" i="72" s="1"/>
  <c r="EN20" i="72" s="1"/>
  <c r="EH13" i="72"/>
  <c r="ES13" i="72" s="1"/>
  <c r="CT8" i="72"/>
  <c r="CT15" i="72"/>
  <c r="DP15" i="72" s="1"/>
  <c r="DX25" i="72"/>
  <c r="EI25" i="72" s="1"/>
  <c r="ET25" i="72" s="1"/>
  <c r="DB34" i="72"/>
  <c r="DX34" i="72" s="1"/>
  <c r="EI34" i="72" s="1"/>
  <c r="EF18" i="72"/>
  <c r="EQ18" i="72" s="1"/>
  <c r="DO28" i="72"/>
  <c r="DC28" i="72"/>
  <c r="DY13" i="72"/>
  <c r="DO20" i="72"/>
  <c r="DC20" i="72"/>
  <c r="CR21" i="72"/>
  <c r="CT21" i="72"/>
  <c r="DC25" i="72"/>
  <c r="DC19" i="72"/>
  <c r="CR29" i="72"/>
  <c r="DC34" i="72"/>
  <c r="EB28" i="72"/>
  <c r="EM28" i="72" s="1"/>
  <c r="EE33" i="72"/>
  <c r="EP33" i="72" s="1"/>
  <c r="CR12" i="72"/>
  <c r="DC12" i="72"/>
  <c r="CR6" i="72"/>
  <c r="CT6" i="72"/>
  <c r="CR13" i="72"/>
  <c r="CV31" i="72"/>
  <c r="CR17" i="72"/>
  <c r="CT17" i="72"/>
  <c r="CR27" i="72"/>
  <c r="DP19" i="72"/>
  <c r="DC26" i="72"/>
  <c r="DC31" i="72"/>
  <c r="EA29" i="72"/>
  <c r="EJ29" i="72" s="1"/>
  <c r="DC16" i="72"/>
  <c r="DC8" i="72"/>
  <c r="CT22" i="72"/>
  <c r="CR22" i="72"/>
  <c r="EI31" i="72"/>
  <c r="ET31" i="72"/>
  <c r="EF8" i="72"/>
  <c r="EQ8" i="72" s="1"/>
  <c r="EC12" i="72"/>
  <c r="EN12" i="72" s="1"/>
  <c r="EA14" i="72"/>
  <c r="EL14" i="72" s="1"/>
  <c r="DC13" i="72"/>
  <c r="CR24" i="72"/>
  <c r="EI18" i="72"/>
  <c r="ET18" i="72"/>
  <c r="ED14" i="72"/>
  <c r="EO14" i="72" s="1"/>
  <c r="EI26" i="72"/>
  <c r="ET26" i="72" s="1"/>
  <c r="ED22" i="72"/>
  <c r="EO22" i="72" s="1"/>
  <c r="CR26" i="72"/>
  <c r="DC27" i="72"/>
  <c r="DC14" i="72"/>
  <c r="EB30" i="72"/>
  <c r="EM30" i="72" s="1"/>
  <c r="DX30" i="72"/>
  <c r="DC30" i="72"/>
  <c r="EH20" i="72"/>
  <c r="ES20" i="72" s="1"/>
  <c r="CR28" i="72"/>
  <c r="EC33" i="72"/>
  <c r="DC32" i="72"/>
  <c r="DP28" i="72"/>
  <c r="CT33" i="72"/>
  <c r="CR33" i="72"/>
  <c r="CT23" i="72"/>
  <c r="CR23" i="72"/>
  <c r="CR30" i="72"/>
  <c r="CT25" i="72"/>
  <c r="DP25" i="72" s="1"/>
  <c r="DO24" i="72"/>
  <c r="DC24" i="72"/>
  <c r="CR18" i="72"/>
  <c r="CT18" i="72"/>
  <c r="DC15" i="72"/>
  <c r="DO15" i="72"/>
  <c r="DC29" i="72"/>
  <c r="CR19" i="72"/>
  <c r="DV5" i="72"/>
  <c r="DW5" i="72"/>
  <c r="DG5" i="72"/>
  <c r="DF5" i="72"/>
  <c r="DP5" i="72" s="1"/>
  <c r="DJ5" i="72"/>
  <c r="DT5" i="72" s="1"/>
  <c r="DI5" i="72"/>
  <c r="DS5" i="72" s="1"/>
  <c r="DL5" i="72"/>
  <c r="DK5" i="72"/>
  <c r="DU5" i="72" s="1"/>
  <c r="DH5" i="72"/>
  <c r="DR5" i="72" s="1"/>
  <c r="DE5" i="72"/>
  <c r="CR5" i="72"/>
  <c r="AS5" i="72" s="1"/>
  <c r="CS5" i="72"/>
  <c r="DX5" i="72"/>
  <c r="M31" i="37"/>
  <c r="O19" i="34"/>
  <c r="R41" i="32"/>
  <c r="AZ32" i="67" l="1"/>
  <c r="AA32" i="67" s="1"/>
  <c r="AB32" i="67" s="1"/>
  <c r="DG13" i="34"/>
  <c r="DK13" i="34" s="1"/>
  <c r="AA13" i="34"/>
  <c r="AB13" i="34" s="1"/>
  <c r="AA14" i="34"/>
  <c r="AB14" i="34" s="1"/>
  <c r="AD14" i="34" s="1"/>
  <c r="AC15" i="34"/>
  <c r="AC13" i="34"/>
  <c r="DA16" i="34"/>
  <c r="DE16" i="34" s="1"/>
  <c r="DH16" i="34" s="1"/>
  <c r="CX16" i="34"/>
  <c r="AA15" i="34"/>
  <c r="AB15" i="34" s="1"/>
  <c r="AD15" i="34" s="1"/>
  <c r="EK25" i="74"/>
  <c r="EK26" i="74"/>
  <c r="AP28" i="74"/>
  <c r="EU28" i="74"/>
  <c r="DZ23" i="74"/>
  <c r="EJ23" i="74" s="1"/>
  <c r="AO23" i="74" s="1"/>
  <c r="DY23" i="74"/>
  <c r="EK23" i="74"/>
  <c r="EU24" i="74"/>
  <c r="AP24" i="74"/>
  <c r="D7" i="50" s="1"/>
  <c r="EK27" i="74"/>
  <c r="ED26" i="72"/>
  <c r="EO26" i="72" s="1"/>
  <c r="DZ21" i="72"/>
  <c r="EK21" i="72" s="1"/>
  <c r="EB12" i="72"/>
  <c r="EM12" i="72" s="1"/>
  <c r="ED6" i="72"/>
  <c r="EO6" i="72"/>
  <c r="EO32" i="72"/>
  <c r="ED32" i="72"/>
  <c r="EM8" i="75"/>
  <c r="ER19" i="75"/>
  <c r="EN13" i="75"/>
  <c r="DY29" i="72"/>
  <c r="EK29" i="72"/>
  <c r="EO21" i="75"/>
  <c r="DR31" i="72"/>
  <c r="ER26" i="72"/>
  <c r="EN33" i="72"/>
  <c r="EB8" i="75"/>
  <c r="ET14" i="72"/>
  <c r="DP8" i="72"/>
  <c r="EA8" i="72" s="1"/>
  <c r="DY8" i="72"/>
  <c r="DC7" i="72"/>
  <c r="DZ31" i="72"/>
  <c r="EK31" i="72" s="1"/>
  <c r="EL29" i="72"/>
  <c r="EM7" i="75"/>
  <c r="EC19" i="75"/>
  <c r="EN19" i="75"/>
  <c r="ED15" i="75"/>
  <c r="EO15" i="75" s="1"/>
  <c r="EE9" i="75"/>
  <c r="EP9" i="75" s="1"/>
  <c r="EB9" i="75"/>
  <c r="EM9" i="75" s="1"/>
  <c r="EB11" i="75"/>
  <c r="EM11" i="75" s="1"/>
  <c r="EH9" i="75"/>
  <c r="ES9" i="75" s="1"/>
  <c r="EF21" i="75"/>
  <c r="EQ21" i="75"/>
  <c r="EH12" i="75"/>
  <c r="ES12" i="75" s="1"/>
  <c r="ED9" i="75"/>
  <c r="EO9" i="75" s="1"/>
  <c r="EI14" i="75"/>
  <c r="ET14" i="75" s="1"/>
  <c r="EF17" i="75"/>
  <c r="EQ17" i="75" s="1"/>
  <c r="EA9" i="75"/>
  <c r="EL9" i="75" s="1"/>
  <c r="EP20" i="75"/>
  <c r="EO14" i="75"/>
  <c r="DC9" i="75"/>
  <c r="DO9" i="75"/>
  <c r="ET16" i="75"/>
  <c r="EL12" i="75"/>
  <c r="EO17" i="75"/>
  <c r="EI9" i="75"/>
  <c r="ET9" i="75" s="1"/>
  <c r="EM15" i="75"/>
  <c r="EG12" i="75"/>
  <c r="ER12" i="75" s="1"/>
  <c r="EA7" i="75"/>
  <c r="EL7" i="75" s="1"/>
  <c r="EF9" i="75"/>
  <c r="EQ9" i="75" s="1"/>
  <c r="EP17" i="75"/>
  <c r="EC9" i="75"/>
  <c r="EN9" i="75" s="1"/>
  <c r="EL5" i="75"/>
  <c r="EP11" i="75"/>
  <c r="EG9" i="75"/>
  <c r="ER9" i="75" s="1"/>
  <c r="EQ15" i="75"/>
  <c r="EQ10" i="75"/>
  <c r="EF11" i="75"/>
  <c r="EQ11" i="75" s="1"/>
  <c r="EN14" i="75"/>
  <c r="EN12" i="75"/>
  <c r="ED13" i="75"/>
  <c r="EO13" i="75" s="1"/>
  <c r="EH20" i="75"/>
  <c r="ES20" i="75"/>
  <c r="EH13" i="75"/>
  <c r="ES13" i="75" s="1"/>
  <c r="EI21" i="75"/>
  <c r="ET21" i="75"/>
  <c r="EH21" i="75"/>
  <c r="ES21" i="75" s="1"/>
  <c r="EI13" i="75"/>
  <c r="ET13" i="75"/>
  <c r="DC17" i="75"/>
  <c r="DO17" i="75"/>
  <c r="EB18" i="75"/>
  <c r="EM18" i="75" s="1"/>
  <c r="EI6" i="75"/>
  <c r="ET6" i="75" s="1"/>
  <c r="EI11" i="75"/>
  <c r="ET11" i="75" s="1"/>
  <c r="EE14" i="75"/>
  <c r="EP14" i="75" s="1"/>
  <c r="EF13" i="75"/>
  <c r="EQ13" i="75" s="1"/>
  <c r="DO18" i="75"/>
  <c r="DC18" i="75"/>
  <c r="EA18" i="75"/>
  <c r="EL18" i="75" s="1"/>
  <c r="DC10" i="75"/>
  <c r="DO10" i="75"/>
  <c r="DO8" i="75"/>
  <c r="DC8" i="75"/>
  <c r="AM8" i="75" s="1"/>
  <c r="EA20" i="75"/>
  <c r="EL20" i="75" s="1"/>
  <c r="EH16" i="75"/>
  <c r="ES16" i="75" s="1"/>
  <c r="EI5" i="75"/>
  <c r="ET5" i="75"/>
  <c r="EB14" i="75"/>
  <c r="EM14" i="75" s="1"/>
  <c r="EE19" i="75"/>
  <c r="EP19" i="75" s="1"/>
  <c r="EG13" i="75"/>
  <c r="ER13" i="75"/>
  <c r="EB17" i="75"/>
  <c r="EM17" i="75" s="1"/>
  <c r="EH5" i="75"/>
  <c r="ES5" i="75" s="1"/>
  <c r="DO15" i="75"/>
  <c r="DC15" i="75"/>
  <c r="EF20" i="75"/>
  <c r="EQ20" i="75" s="1"/>
  <c r="EH6" i="75"/>
  <c r="ES6" i="75" s="1"/>
  <c r="EE15" i="75"/>
  <c r="EP15" i="75" s="1"/>
  <c r="ED18" i="75"/>
  <c r="EO18" i="75" s="1"/>
  <c r="EF5" i="75"/>
  <c r="EQ5" i="75" s="1"/>
  <c r="DO21" i="75"/>
  <c r="DC21" i="75"/>
  <c r="EH7" i="75"/>
  <c r="ES7" i="75"/>
  <c r="EB19" i="75"/>
  <c r="EM19" i="75" s="1"/>
  <c r="DC5" i="75"/>
  <c r="AM5" i="75" s="1"/>
  <c r="DO5" i="75"/>
  <c r="DZ16" i="75"/>
  <c r="DY16" i="75"/>
  <c r="DO13" i="75"/>
  <c r="DC13" i="75"/>
  <c r="DZ20" i="75"/>
  <c r="EJ20" i="75" s="1"/>
  <c r="DY20" i="75"/>
  <c r="EH19" i="75"/>
  <c r="ES19" i="75"/>
  <c r="EH15" i="75"/>
  <c r="ES15" i="75" s="1"/>
  <c r="EA14" i="75"/>
  <c r="EL14" i="75" s="1"/>
  <c r="ED19" i="75"/>
  <c r="EO19" i="75"/>
  <c r="EI12" i="75"/>
  <c r="ET12" i="75"/>
  <c r="ED8" i="75"/>
  <c r="EO8" i="75" s="1"/>
  <c r="EH11" i="75"/>
  <c r="ES11" i="75" s="1"/>
  <c r="EC21" i="75"/>
  <c r="EN21" i="75" s="1"/>
  <c r="DZ12" i="75"/>
  <c r="EJ12" i="75" s="1"/>
  <c r="DY12" i="75"/>
  <c r="DC6" i="75"/>
  <c r="AM6" i="75" s="1"/>
  <c r="DO6" i="75"/>
  <c r="DY19" i="75"/>
  <c r="DZ19" i="75"/>
  <c r="EK19" i="75" s="1"/>
  <c r="EF8" i="75"/>
  <c r="EQ8" i="75" s="1"/>
  <c r="DY11" i="75"/>
  <c r="DZ11" i="75"/>
  <c r="EJ11" i="75" s="1"/>
  <c r="EI7" i="75"/>
  <c r="ET7" i="75" s="1"/>
  <c r="EG16" i="75"/>
  <c r="ER16" i="75" s="1"/>
  <c r="EA6" i="75"/>
  <c r="EL6" i="75" s="1"/>
  <c r="DC7" i="75"/>
  <c r="AM7" i="75" s="1"/>
  <c r="DO7" i="75"/>
  <c r="EB6" i="75"/>
  <c r="EM6" i="75" s="1"/>
  <c r="DO14" i="75"/>
  <c r="DC14" i="75"/>
  <c r="EH17" i="75"/>
  <c r="ES17" i="75" s="1"/>
  <c r="EH8" i="75"/>
  <c r="ES8" i="75" s="1"/>
  <c r="ED6" i="73"/>
  <c r="EO6" i="73" s="1"/>
  <c r="EF17" i="72"/>
  <c r="EQ17" i="72"/>
  <c r="EM29" i="72"/>
  <c r="EB29" i="72"/>
  <c r="EH22" i="72"/>
  <c r="ES22" i="72" s="1"/>
  <c r="DZ22" i="72"/>
  <c r="EK22" i="72"/>
  <c r="EF26" i="72"/>
  <c r="EQ26" i="72" s="1"/>
  <c r="EB16" i="72"/>
  <c r="EM16" i="72" s="1"/>
  <c r="DZ17" i="72"/>
  <c r="EK17" i="72" s="1"/>
  <c r="EA34" i="72"/>
  <c r="EL34" i="72" s="1"/>
  <c r="EE6" i="72"/>
  <c r="EP6" i="72"/>
  <c r="EI20" i="72"/>
  <c r="ET20" i="72" s="1"/>
  <c r="EH14" i="72"/>
  <c r="ES14" i="72"/>
  <c r="EF32" i="72"/>
  <c r="EQ32" i="72"/>
  <c r="EC25" i="72"/>
  <c r="EN25" i="72"/>
  <c r="EH26" i="72"/>
  <c r="ES26" i="72" s="1"/>
  <c r="EC8" i="72"/>
  <c r="EN8" i="72" s="1"/>
  <c r="EE15" i="72"/>
  <c r="EP15" i="72" s="1"/>
  <c r="EG22" i="72"/>
  <c r="ER22" i="72" s="1"/>
  <c r="EG14" i="72"/>
  <c r="ER14" i="72" s="1"/>
  <c r="EC14" i="72"/>
  <c r="EN14" i="72" s="1"/>
  <c r="EE34" i="72"/>
  <c r="EP34" i="72"/>
  <c r="EH17" i="72"/>
  <c r="ES17" i="72"/>
  <c r="EG28" i="72"/>
  <c r="ER28" i="72" s="1"/>
  <c r="EG34" i="72"/>
  <c r="ER34" i="72" s="1"/>
  <c r="EF15" i="72"/>
  <c r="EQ15" i="72"/>
  <c r="EG24" i="72"/>
  <c r="ER24" i="72" s="1"/>
  <c r="ED25" i="72"/>
  <c r="EO25" i="72"/>
  <c r="ED13" i="72"/>
  <c r="EO13" i="72" s="1"/>
  <c r="DY32" i="72"/>
  <c r="DZ32" i="72"/>
  <c r="EK32" i="72" s="1"/>
  <c r="EA31" i="72"/>
  <c r="EL31" i="72"/>
  <c r="EH16" i="72"/>
  <c r="ES16" i="72"/>
  <c r="EG12" i="72"/>
  <c r="ER12" i="72" s="1"/>
  <c r="EC26" i="72"/>
  <c r="EN26" i="72"/>
  <c r="EF34" i="72"/>
  <c r="EQ34" i="72" s="1"/>
  <c r="EF30" i="72"/>
  <c r="EQ30" i="72"/>
  <c r="ED30" i="72"/>
  <c r="EO30" i="72" s="1"/>
  <c r="EI16" i="72"/>
  <c r="ET16" i="72"/>
  <c r="EA26" i="72"/>
  <c r="EL26" i="72"/>
  <c r="DZ6" i="73"/>
  <c r="EJ6" i="73" s="1"/>
  <c r="DY6" i="73"/>
  <c r="EC29" i="72"/>
  <c r="EN29" i="72" s="1"/>
  <c r="EE21" i="72"/>
  <c r="EP21" i="72"/>
  <c r="EI13" i="72"/>
  <c r="ET13" i="72" s="1"/>
  <c r="EH7" i="72"/>
  <c r="ES7" i="72" s="1"/>
  <c r="EA16" i="72"/>
  <c r="EL16" i="72" s="1"/>
  <c r="DZ33" i="72"/>
  <c r="EK33" i="72"/>
  <c r="EF12" i="72"/>
  <c r="EQ12" i="72" s="1"/>
  <c r="EB21" i="72"/>
  <c r="EM21" i="72" s="1"/>
  <c r="EA6" i="73"/>
  <c r="EL6" i="73" s="1"/>
  <c r="EE32" i="72"/>
  <c r="EP32" i="72"/>
  <c r="EF6" i="72"/>
  <c r="EQ6" i="72"/>
  <c r="EH12" i="72"/>
  <c r="ES12" i="72"/>
  <c r="EK26" i="72"/>
  <c r="EU26" i="72" s="1"/>
  <c r="EX7" i="72"/>
  <c r="EZ7" i="72" s="1"/>
  <c r="DQ6" i="72"/>
  <c r="EC23" i="72"/>
  <c r="EN23" i="72"/>
  <c r="EA12" i="72"/>
  <c r="EL12" i="72" s="1"/>
  <c r="EB25" i="72"/>
  <c r="EM25" i="72" s="1"/>
  <c r="EL20" i="72"/>
  <c r="EM18" i="72"/>
  <c r="DZ6" i="72"/>
  <c r="EK6" i="72" s="1"/>
  <c r="ED12" i="72"/>
  <c r="EO12" i="72" s="1"/>
  <c r="ED17" i="72"/>
  <c r="EO17" i="72" s="1"/>
  <c r="EG7" i="72"/>
  <c r="ER7" i="72" s="1"/>
  <c r="EP30" i="72"/>
  <c r="EP8" i="72"/>
  <c r="DO14" i="72"/>
  <c r="EF33" i="72"/>
  <c r="EQ33" i="72" s="1"/>
  <c r="ET22" i="72"/>
  <c r="DY26" i="72"/>
  <c r="EB23" i="72"/>
  <c r="EM23" i="72"/>
  <c r="EH32" i="72"/>
  <c r="ES32" i="72" s="1"/>
  <c r="EF27" i="72"/>
  <c r="EQ27" i="72" s="1"/>
  <c r="EM31" i="72"/>
  <c r="DZ13" i="72"/>
  <c r="EJ13" i="72" s="1"/>
  <c r="EK6" i="73"/>
  <c r="EU6" i="73" s="1"/>
  <c r="EI17" i="74"/>
  <c r="ET17" i="74" s="1"/>
  <c r="EI13" i="74"/>
  <c r="ET13" i="74" s="1"/>
  <c r="EI18" i="74"/>
  <c r="ET18" i="74" s="1"/>
  <c r="EA5" i="74"/>
  <c r="EL5" i="74" s="1"/>
  <c r="EA19" i="74"/>
  <c r="EL19" i="74" s="1"/>
  <c r="ED14" i="74"/>
  <c r="EO14" i="74" s="1"/>
  <c r="EC20" i="74"/>
  <c r="EN20" i="74" s="1"/>
  <c r="EC9" i="74"/>
  <c r="EN9" i="74" s="1"/>
  <c r="ED8" i="74"/>
  <c r="EO8" i="74" s="1"/>
  <c r="EH15" i="74"/>
  <c r="ES15" i="74" s="1"/>
  <c r="EG9" i="74"/>
  <c r="ER9" i="74" s="1"/>
  <c r="EC11" i="74"/>
  <c r="EN11" i="74" s="1"/>
  <c r="EG6" i="74"/>
  <c r="ER6" i="74" s="1"/>
  <c r="EG18" i="74"/>
  <c r="ER18" i="74" s="1"/>
  <c r="EF5" i="74"/>
  <c r="EQ5" i="74" s="1"/>
  <c r="EG21" i="74"/>
  <c r="ER21" i="74" s="1"/>
  <c r="EB16" i="74"/>
  <c r="EM16" i="74" s="1"/>
  <c r="EC7" i="74"/>
  <c r="EN7" i="74" s="1"/>
  <c r="EB17" i="74"/>
  <c r="EM17" i="74" s="1"/>
  <c r="EF17" i="74"/>
  <c r="EQ17" i="74" s="1"/>
  <c r="EH11" i="74"/>
  <c r="ES11" i="74" s="1"/>
  <c r="EG7" i="74"/>
  <c r="ER7" i="74" s="1"/>
  <c r="EA17" i="74"/>
  <c r="EL17" i="74" s="1"/>
  <c r="EI6" i="74"/>
  <c r="ET6" i="74" s="1"/>
  <c r="EB6" i="74"/>
  <c r="EM6" i="74" s="1"/>
  <c r="EC13" i="74"/>
  <c r="EN13" i="74" s="1"/>
  <c r="ED13" i="74"/>
  <c r="EO13" i="74" s="1"/>
  <c r="EA21" i="74"/>
  <c r="EL21" i="74" s="1"/>
  <c r="EA11" i="74"/>
  <c r="EL11" i="74" s="1"/>
  <c r="EA14" i="74"/>
  <c r="EL14" i="74" s="1"/>
  <c r="ED19" i="74"/>
  <c r="EO19" i="74" s="1"/>
  <c r="ED9" i="74"/>
  <c r="EO9" i="74" s="1"/>
  <c r="EA7" i="74"/>
  <c r="EL7" i="74" s="1"/>
  <c r="EB13" i="74"/>
  <c r="EM13" i="74" s="1"/>
  <c r="ED20" i="74"/>
  <c r="EO20" i="74" s="1"/>
  <c r="EF18" i="74"/>
  <c r="EQ18" i="74" s="1"/>
  <c r="EC16" i="74"/>
  <c r="EN16" i="74" s="1"/>
  <c r="EH20" i="74"/>
  <c r="ES20" i="74" s="1"/>
  <c r="EC12" i="74"/>
  <c r="EN12" i="74" s="1"/>
  <c r="EF20" i="74"/>
  <c r="EQ20" i="74" s="1"/>
  <c r="EI20" i="74"/>
  <c r="ET20" i="74" s="1"/>
  <c r="EG13" i="74"/>
  <c r="ER13" i="74" s="1"/>
  <c r="EE12" i="74"/>
  <c r="EP12" i="74" s="1"/>
  <c r="EI12" i="74"/>
  <c r="ET12" i="74" s="1"/>
  <c r="EG15" i="74"/>
  <c r="ER15" i="74" s="1"/>
  <c r="EB10" i="74"/>
  <c r="EM10" i="74" s="1"/>
  <c r="EB14" i="74"/>
  <c r="EM14" i="74" s="1"/>
  <c r="EG14" i="74"/>
  <c r="ER14" i="74" s="1"/>
  <c r="EH7" i="74"/>
  <c r="ES7" i="74" s="1"/>
  <c r="EG12" i="74"/>
  <c r="ER12" i="74" s="1"/>
  <c r="EB12" i="74"/>
  <c r="EM12" i="74" s="1"/>
  <c r="EE5" i="74"/>
  <c r="EP5" i="74" s="1"/>
  <c r="EH5" i="74"/>
  <c r="ES5" i="74" s="1"/>
  <c r="DY14" i="74"/>
  <c r="DZ14" i="74"/>
  <c r="EE10" i="74"/>
  <c r="EP10" i="74" s="1"/>
  <c r="EI14" i="74"/>
  <c r="ET14" i="74" s="1"/>
  <c r="EB21" i="74"/>
  <c r="EM21" i="74" s="1"/>
  <c r="DZ11" i="74"/>
  <c r="DY11" i="74"/>
  <c r="EG11" i="74"/>
  <c r="ER11" i="74" s="1"/>
  <c r="EB8" i="74"/>
  <c r="EM8" i="74" s="1"/>
  <c r="EF7" i="74"/>
  <c r="EQ7" i="74" s="1"/>
  <c r="EF21" i="74"/>
  <c r="EQ21" i="74" s="1"/>
  <c r="EH10" i="74"/>
  <c r="ES10" i="74" s="1"/>
  <c r="EI19" i="74"/>
  <c r="ET19" i="74" s="1"/>
  <c r="EH18" i="74"/>
  <c r="ES18" i="74" s="1"/>
  <c r="EA6" i="74"/>
  <c r="EL6" i="74" s="1"/>
  <c r="EA15" i="74"/>
  <c r="EL15" i="74" s="1"/>
  <c r="EG16" i="74"/>
  <c r="ER16" i="74" s="1"/>
  <c r="EB15" i="74"/>
  <c r="EM15" i="74" s="1"/>
  <c r="EI16" i="74"/>
  <c r="ET16" i="74" s="1"/>
  <c r="EC14" i="74"/>
  <c r="EN14" i="74" s="1"/>
  <c r="EF11" i="74"/>
  <c r="EQ11" i="74" s="1"/>
  <c r="EC10" i="74"/>
  <c r="EN10" i="74" s="1"/>
  <c r="EG8" i="74"/>
  <c r="ER8" i="74" s="1"/>
  <c r="DZ5" i="74"/>
  <c r="EK5" i="74" s="1"/>
  <c r="DY5" i="74"/>
  <c r="ED5" i="74"/>
  <c r="EO5" i="74" s="1"/>
  <c r="EH6" i="74"/>
  <c r="ES6" i="74" s="1"/>
  <c r="EI11" i="74"/>
  <c r="ET11" i="74" s="1"/>
  <c r="ED11" i="74"/>
  <c r="EO11" i="74" s="1"/>
  <c r="EE6" i="74"/>
  <c r="EP6" i="74" s="1"/>
  <c r="EI10" i="74"/>
  <c r="ET10" i="74" s="1"/>
  <c r="EG19" i="74"/>
  <c r="ER19" i="74" s="1"/>
  <c r="EH8" i="74"/>
  <c r="ES8" i="74" s="1"/>
  <c r="EC21" i="74"/>
  <c r="EN21" i="74" s="1"/>
  <c r="EB7" i="74"/>
  <c r="EM7" i="74" s="1"/>
  <c r="EB18" i="74"/>
  <c r="EM18" i="74" s="1"/>
  <c r="EB20" i="74"/>
  <c r="EM20" i="74" s="1"/>
  <c r="EA16" i="74"/>
  <c r="EL16" i="74" s="1"/>
  <c r="EE14" i="74"/>
  <c r="EP14" i="74" s="1"/>
  <c r="DY7" i="74"/>
  <c r="DZ7" i="74"/>
  <c r="EH21" i="74"/>
  <c r="ES21" i="74" s="1"/>
  <c r="EI5" i="74"/>
  <c r="ET5" i="74"/>
  <c r="EA8" i="74"/>
  <c r="EL8" i="74" s="1"/>
  <c r="EC8" i="74"/>
  <c r="EN8" i="74" s="1"/>
  <c r="EB11" i="74"/>
  <c r="EM11" i="74" s="1"/>
  <c r="EH13" i="74"/>
  <c r="ES13" i="74" s="1"/>
  <c r="EE13" i="74"/>
  <c r="EP13" i="74" s="1"/>
  <c r="ED10" i="74"/>
  <c r="EO10" i="74" s="1"/>
  <c r="DO15" i="74"/>
  <c r="DC15" i="74"/>
  <c r="AM15" i="74" s="1"/>
  <c r="DZ17" i="74"/>
  <c r="EK17" i="74" s="1"/>
  <c r="DY17" i="74"/>
  <c r="ED12" i="74"/>
  <c r="EO12" i="74" s="1"/>
  <c r="EH12" i="74"/>
  <c r="ES12" i="74" s="1"/>
  <c r="EC15" i="74"/>
  <c r="EN15" i="74" s="1"/>
  <c r="DC12" i="74"/>
  <c r="AM12" i="74" s="1"/>
  <c r="DO12" i="74"/>
  <c r="EA9" i="74"/>
  <c r="EL9" i="74" s="1"/>
  <c r="EE19" i="74"/>
  <c r="EP19" i="74" s="1"/>
  <c r="EE8" i="74"/>
  <c r="EP8" i="74" s="1"/>
  <c r="EH16" i="74"/>
  <c r="ES16" i="74" s="1"/>
  <c r="EF9" i="74"/>
  <c r="EQ9" i="74" s="1"/>
  <c r="EA18" i="74"/>
  <c r="EL18" i="74" s="1"/>
  <c r="EG17" i="74"/>
  <c r="ER17" i="74" s="1"/>
  <c r="ED16" i="74"/>
  <c r="EO16" i="74" s="1"/>
  <c r="EE11" i="74"/>
  <c r="EP11" i="74" s="1"/>
  <c r="ED18" i="74"/>
  <c r="EO18" i="74" s="1"/>
  <c r="ED15" i="74"/>
  <c r="EO15" i="74" s="1"/>
  <c r="EH14" i="74"/>
  <c r="ES14" i="74" s="1"/>
  <c r="EE7" i="74"/>
  <c r="EP7" i="74" s="1"/>
  <c r="EH9" i="74"/>
  <c r="ES9" i="74" s="1"/>
  <c r="EC19" i="74"/>
  <c r="EN19" i="74" s="1"/>
  <c r="EE15" i="74"/>
  <c r="EP15" i="74" s="1"/>
  <c r="EC18" i="74"/>
  <c r="EN18" i="74" s="1"/>
  <c r="EH19" i="74"/>
  <c r="ES19" i="74" s="1"/>
  <c r="EI15" i="74"/>
  <c r="ET15" i="74" s="1"/>
  <c r="DO10" i="74"/>
  <c r="DC10" i="74"/>
  <c r="AM10" i="74" s="1"/>
  <c r="EG10" i="74"/>
  <c r="ER10" i="74" s="1"/>
  <c r="EF16" i="74"/>
  <c r="EQ16" i="74" s="1"/>
  <c r="DC8" i="74"/>
  <c r="AM8" i="74" s="1"/>
  <c r="DO8" i="74"/>
  <c r="EA12" i="74"/>
  <c r="EL12" i="74" s="1"/>
  <c r="DO19" i="74"/>
  <c r="DC19" i="74"/>
  <c r="AM19" i="74" s="1"/>
  <c r="DC21" i="74"/>
  <c r="AM21" i="74" s="1"/>
  <c r="DO21" i="74"/>
  <c r="EI7" i="74"/>
  <c r="ET7" i="74" s="1"/>
  <c r="EB9" i="74"/>
  <c r="EM9" i="74" s="1"/>
  <c r="EC17" i="74"/>
  <c r="EN17" i="74" s="1"/>
  <c r="ED21" i="74"/>
  <c r="EO21" i="74" s="1"/>
  <c r="EE17" i="74"/>
  <c r="EP17" i="74" s="1"/>
  <c r="EI9" i="74"/>
  <c r="ET9" i="74" s="1"/>
  <c r="EE18" i="74"/>
  <c r="EP18" i="74" s="1"/>
  <c r="EC6" i="74"/>
  <c r="EN6" i="74" s="1"/>
  <c r="DZ18" i="74"/>
  <c r="EK18" i="74" s="1"/>
  <c r="DY18" i="74"/>
  <c r="EB5" i="74"/>
  <c r="EM5" i="74" s="1"/>
  <c r="EF12" i="74"/>
  <c r="EQ12" i="74" s="1"/>
  <c r="EI8" i="74"/>
  <c r="ET8" i="74" s="1"/>
  <c r="EA20" i="74"/>
  <c r="EL20" i="74" s="1"/>
  <c r="EI21" i="74"/>
  <c r="ET21" i="74" s="1"/>
  <c r="EB19" i="74"/>
  <c r="EM19" i="74" s="1"/>
  <c r="EH17" i="74"/>
  <c r="ES17" i="74" s="1"/>
  <c r="DO6" i="74"/>
  <c r="DC6" i="74"/>
  <c r="AM6" i="74" s="1"/>
  <c r="EA13" i="74"/>
  <c r="EL13" i="74" s="1"/>
  <c r="DC16" i="74"/>
  <c r="AM16" i="74" s="1"/>
  <c r="DO16" i="74"/>
  <c r="DO13" i="74"/>
  <c r="DC13" i="74"/>
  <c r="AM13" i="74" s="1"/>
  <c r="EE21" i="74"/>
  <c r="EP21" i="74" s="1"/>
  <c r="ED6" i="74"/>
  <c r="EO6" i="74" s="1"/>
  <c r="EF13" i="74"/>
  <c r="EQ13" i="74" s="1"/>
  <c r="EF14" i="74"/>
  <c r="EQ14" i="74" s="1"/>
  <c r="EF19" i="74"/>
  <c r="EQ19" i="74" s="1"/>
  <c r="ED7" i="74"/>
  <c r="EO7" i="74" s="1"/>
  <c r="EC5" i="74"/>
  <c r="EN5" i="74" s="1"/>
  <c r="EF6" i="74"/>
  <c r="EQ6" i="74" s="1"/>
  <c r="EE9" i="74"/>
  <c r="EP9" i="74" s="1"/>
  <c r="EF8" i="74"/>
  <c r="EQ8" i="74" s="1"/>
  <c r="DY9" i="74"/>
  <c r="DZ9" i="74"/>
  <c r="EK9" i="74" s="1"/>
  <c r="ED17" i="74"/>
  <c r="EO17" i="74" s="1"/>
  <c r="EF10" i="74"/>
  <c r="EQ10" i="74" s="1"/>
  <c r="EG5" i="74"/>
  <c r="ER5" i="74" s="1"/>
  <c r="EA10" i="74"/>
  <c r="EL10" i="74" s="1"/>
  <c r="EE16" i="74"/>
  <c r="EP16" i="74" s="1"/>
  <c r="EG20" i="74"/>
  <c r="ER20" i="74" s="1"/>
  <c r="DC20" i="74"/>
  <c r="AM20" i="74" s="1"/>
  <c r="DO20" i="74"/>
  <c r="EE20" i="74"/>
  <c r="EP20" i="74" s="1"/>
  <c r="EF15" i="74"/>
  <c r="EQ15" i="74" s="1"/>
  <c r="AM5" i="38"/>
  <c r="EA23" i="38"/>
  <c r="EL23" i="38" s="1"/>
  <c r="ED18" i="38"/>
  <c r="EO18" i="38" s="1"/>
  <c r="EG6" i="38"/>
  <c r="ER6" i="38" s="1"/>
  <c r="EA19" i="38"/>
  <c r="EL19" i="38" s="1"/>
  <c r="EI16" i="38"/>
  <c r="ET16" i="38" s="1"/>
  <c r="EI34" i="38"/>
  <c r="ET34" i="38"/>
  <c r="EH30" i="38"/>
  <c r="ES30" i="38" s="1"/>
  <c r="ED10" i="38"/>
  <c r="EO10" i="38" s="1"/>
  <c r="EC18" i="38"/>
  <c r="EN18" i="38" s="1"/>
  <c r="EH24" i="38"/>
  <c r="ES24" i="38" s="1"/>
  <c r="EB21" i="38"/>
  <c r="EM21" i="38" s="1"/>
  <c r="EI30" i="38"/>
  <c r="ET30" i="38" s="1"/>
  <c r="EE10" i="38"/>
  <c r="EP10" i="38" s="1"/>
  <c r="EF6" i="38"/>
  <c r="EQ6" i="38" s="1"/>
  <c r="EH11" i="38"/>
  <c r="ES11" i="38" s="1"/>
  <c r="EC15" i="38"/>
  <c r="EN15" i="38" s="1"/>
  <c r="EA34" i="38"/>
  <c r="EL34" i="38" s="1"/>
  <c r="EH13" i="38"/>
  <c r="ES13" i="38" s="1"/>
  <c r="EI33" i="38"/>
  <c r="ET33" i="38" s="1"/>
  <c r="EF16" i="38"/>
  <c r="EQ16" i="38"/>
  <c r="EI11" i="38"/>
  <c r="ET11" i="38" s="1"/>
  <c r="EE20" i="38"/>
  <c r="EP20" i="38" s="1"/>
  <c r="EC16" i="38"/>
  <c r="EN16" i="38" s="1"/>
  <c r="EI26" i="38"/>
  <c r="ET26" i="38" s="1"/>
  <c r="EI25" i="38"/>
  <c r="ET25" i="38" s="1"/>
  <c r="EI31" i="38"/>
  <c r="ET31" i="38" s="1"/>
  <c r="EI32" i="38"/>
  <c r="ET32" i="38" s="1"/>
  <c r="EA27" i="38"/>
  <c r="EL27" i="38" s="1"/>
  <c r="EC22" i="38"/>
  <c r="EN22" i="38" s="1"/>
  <c r="EB24" i="38"/>
  <c r="EM24" i="38" s="1"/>
  <c r="EE17" i="38"/>
  <c r="EP17" i="38" s="1"/>
  <c r="EC21" i="38"/>
  <c r="EN21" i="38" s="1"/>
  <c r="FA5" i="38"/>
  <c r="FB5" i="38" s="1"/>
  <c r="ED19" i="38"/>
  <c r="EO19" i="38" s="1"/>
  <c r="EF25" i="38"/>
  <c r="EQ25" i="38" s="1"/>
  <c r="EG27" i="38"/>
  <c r="ER27" i="38"/>
  <c r="DZ23" i="38"/>
  <c r="EK23" i="38" s="1"/>
  <c r="DY23" i="38"/>
  <c r="EA26" i="38"/>
  <c r="EL26" i="38" s="1"/>
  <c r="EI14" i="38"/>
  <c r="ET14" i="38" s="1"/>
  <c r="EH5" i="38"/>
  <c r="ES5" i="38" s="1"/>
  <c r="EI23" i="38"/>
  <c r="ET23" i="38" s="1"/>
  <c r="EA6" i="38"/>
  <c r="EL6" i="38" s="1"/>
  <c r="EE5" i="38"/>
  <c r="EP5" i="38" s="1"/>
  <c r="ED14" i="38"/>
  <c r="EO14" i="38" s="1"/>
  <c r="EC13" i="38"/>
  <c r="EN13" i="38" s="1"/>
  <c r="EC32" i="38"/>
  <c r="EN32" i="38"/>
  <c r="EG30" i="38"/>
  <c r="ER30" i="38" s="1"/>
  <c r="EB29" i="38"/>
  <c r="EM29" i="38" s="1"/>
  <c r="EB30" i="38"/>
  <c r="EM30" i="38" s="1"/>
  <c r="EG24" i="38"/>
  <c r="ER24" i="38" s="1"/>
  <c r="EE22" i="38"/>
  <c r="EP22" i="38" s="1"/>
  <c r="EE15" i="38"/>
  <c r="EP15" i="38" s="1"/>
  <c r="ED26" i="38"/>
  <c r="EO26" i="38" s="1"/>
  <c r="EA25" i="38"/>
  <c r="EL25" i="38" s="1"/>
  <c r="EE23" i="38"/>
  <c r="EP23" i="38" s="1"/>
  <c r="EA15" i="38"/>
  <c r="EL15" i="38" s="1"/>
  <c r="ED25" i="38"/>
  <c r="EO25" i="38" s="1"/>
  <c r="EF21" i="38"/>
  <c r="EQ21" i="38" s="1"/>
  <c r="EB13" i="38"/>
  <c r="EM13" i="38" s="1"/>
  <c r="EF17" i="38"/>
  <c r="EQ17" i="38"/>
  <c r="EF31" i="38"/>
  <c r="EQ31" i="38" s="1"/>
  <c r="EG18" i="38"/>
  <c r="ER18" i="38" s="1"/>
  <c r="EF30" i="38"/>
  <c r="EQ30" i="38" s="1"/>
  <c r="EE26" i="38"/>
  <c r="EP26" i="38" s="1"/>
  <c r="EA5" i="38"/>
  <c r="EL5" i="38" s="1"/>
  <c r="EA29" i="38"/>
  <c r="EL29" i="38" s="1"/>
  <c r="EB15" i="38"/>
  <c r="EM15" i="38" s="1"/>
  <c r="EE11" i="38"/>
  <c r="EP11" i="38" s="1"/>
  <c r="EA31" i="38"/>
  <c r="EL31" i="38" s="1"/>
  <c r="EH20" i="38"/>
  <c r="ES20" i="38" s="1"/>
  <c r="DY27" i="38"/>
  <c r="DZ27" i="38"/>
  <c r="EH19" i="38"/>
  <c r="ES19" i="38" s="1"/>
  <c r="EC11" i="38"/>
  <c r="EN11" i="38" s="1"/>
  <c r="DY13" i="38"/>
  <c r="DZ13" i="38"/>
  <c r="EI13" i="38"/>
  <c r="ET13" i="38" s="1"/>
  <c r="EC14" i="38"/>
  <c r="EN14" i="38"/>
  <c r="EH18" i="38"/>
  <c r="ES18" i="38" s="1"/>
  <c r="EH6" i="38"/>
  <c r="ES6" i="38" s="1"/>
  <c r="ED17" i="38"/>
  <c r="EO17" i="38" s="1"/>
  <c r="EA22" i="38"/>
  <c r="EL22" i="38" s="1"/>
  <c r="EH26" i="38"/>
  <c r="ES26" i="38" s="1"/>
  <c r="EH10" i="38"/>
  <c r="ES10" i="38" s="1"/>
  <c r="ED16" i="38"/>
  <c r="EO16" i="38" s="1"/>
  <c r="EC29" i="38"/>
  <c r="EN29" i="38" s="1"/>
  <c r="EC20" i="38"/>
  <c r="EN20" i="38" s="1"/>
  <c r="ED24" i="38"/>
  <c r="EO24" i="38" s="1"/>
  <c r="EA20" i="38"/>
  <c r="EL20" i="38" s="1"/>
  <c r="EF18" i="38"/>
  <c r="EQ18" i="38" s="1"/>
  <c r="EI19" i="38"/>
  <c r="ET19" i="38" s="1"/>
  <c r="ED13" i="38"/>
  <c r="EO13" i="38" s="1"/>
  <c r="EE16" i="38"/>
  <c r="EP16" i="38" s="1"/>
  <c r="EG11" i="38"/>
  <c r="ER11" i="38" s="1"/>
  <c r="EB27" i="38"/>
  <c r="EM27" i="38" s="1"/>
  <c r="ED22" i="38"/>
  <c r="EO22" i="38" s="1"/>
  <c r="ED29" i="38"/>
  <c r="EO29" i="38" s="1"/>
  <c r="EF20" i="38"/>
  <c r="EQ20" i="38" s="1"/>
  <c r="EB16" i="38"/>
  <c r="EM16" i="38" s="1"/>
  <c r="ED34" i="38"/>
  <c r="EO34" i="38" s="1"/>
  <c r="EC19" i="38"/>
  <c r="EN19" i="38" s="1"/>
  <c r="EF33" i="38"/>
  <c r="EQ33" i="38" s="1"/>
  <c r="EG32" i="38"/>
  <c r="ER32" i="38" s="1"/>
  <c r="EG23" i="38"/>
  <c r="ER23" i="38" s="1"/>
  <c r="DY11" i="38"/>
  <c r="DZ11" i="38"/>
  <c r="EK11" i="38" s="1"/>
  <c r="DZ5" i="38"/>
  <c r="EK5" i="38" s="1"/>
  <c r="DY5" i="38"/>
  <c r="ED5" i="38"/>
  <c r="EO5" i="38" s="1"/>
  <c r="DZ31" i="38"/>
  <c r="EK31" i="38" s="1"/>
  <c r="DY31" i="38"/>
  <c r="EB20" i="38"/>
  <c r="EM20" i="38" s="1"/>
  <c r="EF15" i="38"/>
  <c r="EQ15" i="38" s="1"/>
  <c r="EA18" i="38"/>
  <c r="EL18" i="38" s="1"/>
  <c r="EG31" i="38"/>
  <c r="ER31" i="38" s="1"/>
  <c r="EH17" i="38"/>
  <c r="ES17" i="38" s="1"/>
  <c r="EI27" i="38"/>
  <c r="ET27" i="38" s="1"/>
  <c r="EB10" i="38"/>
  <c r="EM10" i="38" s="1"/>
  <c r="ED6" i="38"/>
  <c r="EO6" i="38" s="1"/>
  <c r="EA16" i="38"/>
  <c r="EL16" i="38" s="1"/>
  <c r="EE25" i="38"/>
  <c r="EP25" i="38" s="1"/>
  <c r="EG17" i="38"/>
  <c r="ER17" i="38" s="1"/>
  <c r="EE19" i="38"/>
  <c r="EP19" i="38" s="1"/>
  <c r="EC23" i="38"/>
  <c r="EN23" i="38" s="1"/>
  <c r="EF23" i="38"/>
  <c r="EQ23" i="38" s="1"/>
  <c r="ED32" i="38"/>
  <c r="EO32" i="38" s="1"/>
  <c r="EE18" i="38"/>
  <c r="EP18" i="38" s="1"/>
  <c r="EB14" i="38"/>
  <c r="EM14" i="38" s="1"/>
  <c r="EE21" i="38"/>
  <c r="EP21" i="38" s="1"/>
  <c r="EF24" i="38"/>
  <c r="EQ24" i="38" s="1"/>
  <c r="EF14" i="38"/>
  <c r="EQ14" i="38" s="1"/>
  <c r="DO33" i="38"/>
  <c r="DC33" i="38"/>
  <c r="EB25" i="38"/>
  <c r="EM25" i="38" s="1"/>
  <c r="EH25" i="38"/>
  <c r="ES25" i="38" s="1"/>
  <c r="EH21" i="38"/>
  <c r="ES21" i="38" s="1"/>
  <c r="EB18" i="38"/>
  <c r="EM18" i="38" s="1"/>
  <c r="ED27" i="38"/>
  <c r="EO27" i="38" s="1"/>
  <c r="EE6" i="38"/>
  <c r="EP6" i="38" s="1"/>
  <c r="EC6" i="38"/>
  <c r="EN6" i="38" s="1"/>
  <c r="EG21" i="38"/>
  <c r="ER21" i="38" s="1"/>
  <c r="EI24" i="38"/>
  <c r="ET24" i="38" s="1"/>
  <c r="ED23" i="38"/>
  <c r="EO23" i="38" s="1"/>
  <c r="EC25" i="38"/>
  <c r="EN25" i="38" s="1"/>
  <c r="EI22" i="38"/>
  <c r="ET22" i="38" s="1"/>
  <c r="EE32" i="38"/>
  <c r="EP32" i="38" s="1"/>
  <c r="EI18" i="38"/>
  <c r="ET18" i="38" s="1"/>
  <c r="EI6" i="38"/>
  <c r="ET6" i="38" s="1"/>
  <c r="DY15" i="38"/>
  <c r="DZ15" i="38"/>
  <c r="EK15" i="38" s="1"/>
  <c r="EH23" i="38"/>
  <c r="ES23" i="38" s="1"/>
  <c r="DC20" i="38"/>
  <c r="DO20" i="38"/>
  <c r="EA24" i="38"/>
  <c r="EL24" i="38" s="1"/>
  <c r="EA17" i="38"/>
  <c r="EL17" i="38" s="1"/>
  <c r="EC34" i="38"/>
  <c r="EN34" i="38" s="1"/>
  <c r="EG5" i="38"/>
  <c r="ER5" i="38" s="1"/>
  <c r="EI15" i="38"/>
  <c r="ET15" i="38" s="1"/>
  <c r="EG14" i="38"/>
  <c r="ER14" i="38" s="1"/>
  <c r="EC10" i="38"/>
  <c r="EN10" i="38" s="1"/>
  <c r="ED20" i="38"/>
  <c r="EO20" i="38" s="1"/>
  <c r="EE30" i="38"/>
  <c r="EP30" i="38" s="1"/>
  <c r="EF22" i="38"/>
  <c r="EQ22" i="38" s="1"/>
  <c r="ED15" i="38"/>
  <c r="EO15" i="38" s="1"/>
  <c r="EA14" i="38"/>
  <c r="EL14" i="38" s="1"/>
  <c r="DC34" i="38"/>
  <c r="DO34" i="38"/>
  <c r="EG22" i="38"/>
  <c r="ER22" i="38" s="1"/>
  <c r="ED11" i="38"/>
  <c r="EO11" i="38" s="1"/>
  <c r="EC31" i="38"/>
  <c r="EN31" i="38" s="1"/>
  <c r="EE29" i="38"/>
  <c r="EP29" i="38" s="1"/>
  <c r="EG33" i="38"/>
  <c r="ER33" i="38" s="1"/>
  <c r="EI17" i="38"/>
  <c r="ET17" i="38" s="1"/>
  <c r="DC21" i="38"/>
  <c r="DO21" i="38"/>
  <c r="EA10" i="38"/>
  <c r="EL10" i="38" s="1"/>
  <c r="DC26" i="38"/>
  <c r="DO26" i="38"/>
  <c r="EH32" i="38"/>
  <c r="ES32" i="38" s="1"/>
  <c r="EF13" i="38"/>
  <c r="EQ13" i="38" s="1"/>
  <c r="EF32" i="38"/>
  <c r="EQ32" i="38" s="1"/>
  <c r="EH33" i="38"/>
  <c r="ES33" i="38"/>
  <c r="EG34" i="38"/>
  <c r="ER34" i="38" s="1"/>
  <c r="EF34" i="38"/>
  <c r="EQ34" i="38" s="1"/>
  <c r="DO29" i="38"/>
  <c r="DC29" i="38"/>
  <c r="EG15" i="38"/>
  <c r="ER15" i="38" s="1"/>
  <c r="ED33" i="38"/>
  <c r="EO33" i="38" s="1"/>
  <c r="EC33" i="38"/>
  <c r="EN33" i="38"/>
  <c r="EB5" i="38"/>
  <c r="EM5" i="38" s="1"/>
  <c r="EG10" i="38"/>
  <c r="ER10" i="38" s="1"/>
  <c r="EE27" i="38"/>
  <c r="EP27" i="38" s="1"/>
  <c r="DO19" i="38"/>
  <c r="DC19" i="38"/>
  <c r="EE24" i="38"/>
  <c r="EP24" i="38" s="1"/>
  <c r="EH22" i="38"/>
  <c r="ES22" i="38"/>
  <c r="EG25" i="38"/>
  <c r="ER25" i="38" s="1"/>
  <c r="EE34" i="38"/>
  <c r="EP34" i="38" s="1"/>
  <c r="EI5" i="38"/>
  <c r="ET5" i="38" s="1"/>
  <c r="EC30" i="38"/>
  <c r="EN30" i="38" s="1"/>
  <c r="EC26" i="38"/>
  <c r="EN26" i="38" s="1"/>
  <c r="EI20" i="38"/>
  <c r="ET20" i="38" s="1"/>
  <c r="ED30" i="38"/>
  <c r="EO30" i="38" s="1"/>
  <c r="EB11" i="38"/>
  <c r="EM11" i="38" s="1"/>
  <c r="DC17" i="38"/>
  <c r="DO17" i="38"/>
  <c r="EG13" i="38"/>
  <c r="ER13" i="38" s="1"/>
  <c r="EE31" i="38"/>
  <c r="EP31" i="38" s="1"/>
  <c r="EH27" i="38"/>
  <c r="ES27" i="38" s="1"/>
  <c r="ED31" i="38"/>
  <c r="EO31" i="38" s="1"/>
  <c r="EB33" i="38"/>
  <c r="EM33" i="38" s="1"/>
  <c r="EH16" i="38"/>
  <c r="ES16" i="38" s="1"/>
  <c r="EE33" i="38"/>
  <c r="EP33" i="38" s="1"/>
  <c r="EB31" i="38"/>
  <c r="EM31" i="38" s="1"/>
  <c r="EB23" i="38"/>
  <c r="EM23" i="38" s="1"/>
  <c r="DC14" i="38"/>
  <c r="DO14" i="38"/>
  <c r="EC24" i="38"/>
  <c r="EN24" i="38" s="1"/>
  <c r="EB19" i="38"/>
  <c r="EM19" i="38" s="1"/>
  <c r="DC6" i="38"/>
  <c r="AM6" i="38" s="1"/>
  <c r="DO6" i="38"/>
  <c r="EE13" i="38"/>
  <c r="EP13" i="38" s="1"/>
  <c r="EA32" i="38"/>
  <c r="EL32" i="38" s="1"/>
  <c r="EG29" i="38"/>
  <c r="ER29" i="38" s="1"/>
  <c r="EI10" i="38"/>
  <c r="ET10" i="38" s="1"/>
  <c r="EH15" i="38"/>
  <c r="ES15" i="38" s="1"/>
  <c r="DZ22" i="38"/>
  <c r="EK22" i="38" s="1"/>
  <c r="DY22" i="38"/>
  <c r="EI21" i="38"/>
  <c r="ET21" i="38" s="1"/>
  <c r="EF11" i="38"/>
  <c r="EQ11" i="38" s="1"/>
  <c r="EA30" i="38"/>
  <c r="EL30" i="38" s="1"/>
  <c r="DO25" i="38"/>
  <c r="DC25" i="38"/>
  <c r="EC17" i="38"/>
  <c r="EN17" i="38" s="1"/>
  <c r="DO32" i="38"/>
  <c r="DC32" i="38"/>
  <c r="EG19" i="38"/>
  <c r="ER19" i="38" s="1"/>
  <c r="ED21" i="38"/>
  <c r="EO21" i="38" s="1"/>
  <c r="EA21" i="38"/>
  <c r="EL21" i="38" s="1"/>
  <c r="EC5" i="38"/>
  <c r="EN5" i="38" s="1"/>
  <c r="EE14" i="38"/>
  <c r="EP14" i="38" s="1"/>
  <c r="EA13" i="38"/>
  <c r="EL13" i="38" s="1"/>
  <c r="DC24" i="38"/>
  <c r="DO24" i="38"/>
  <c r="EB32" i="38"/>
  <c r="EM32" i="38" s="1"/>
  <c r="EH34" i="38"/>
  <c r="ES34" i="38" s="1"/>
  <c r="EI29" i="38"/>
  <c r="ET29" i="38" s="1"/>
  <c r="EF5" i="38"/>
  <c r="EQ5" i="38" s="1"/>
  <c r="EF10" i="38"/>
  <c r="EQ10" i="38" s="1"/>
  <c r="EA33" i="38"/>
  <c r="EL33" i="38" s="1"/>
  <c r="EF27" i="38"/>
  <c r="EQ27" i="38" s="1"/>
  <c r="EG16" i="38"/>
  <c r="ER16" i="38" s="1"/>
  <c r="EH14" i="38"/>
  <c r="ES14" i="38" s="1"/>
  <c r="EF19" i="38"/>
  <c r="EQ19" i="38" s="1"/>
  <c r="EB6" i="38"/>
  <c r="EM6" i="38" s="1"/>
  <c r="EG20" i="38"/>
  <c r="ER20" i="38" s="1"/>
  <c r="EH31" i="38"/>
  <c r="ES31" i="38" s="1"/>
  <c r="EG26" i="38"/>
  <c r="ER26" i="38" s="1"/>
  <c r="EH29" i="38"/>
  <c r="ES29" i="38" s="1"/>
  <c r="EA11" i="38"/>
  <c r="EL11" i="38"/>
  <c r="DO18" i="38"/>
  <c r="DC18" i="38"/>
  <c r="EB26" i="38"/>
  <c r="EM26" i="38" s="1"/>
  <c r="EF29" i="38"/>
  <c r="EQ29" i="38" s="1"/>
  <c r="EB22" i="38"/>
  <c r="EM22" i="38" s="1"/>
  <c r="EF26" i="38"/>
  <c r="EQ26" i="38" s="1"/>
  <c r="EC27" i="38"/>
  <c r="EN27" i="38" s="1"/>
  <c r="DC10" i="38"/>
  <c r="AM10" i="38" s="1"/>
  <c r="DO10" i="38"/>
  <c r="EB17" i="38"/>
  <c r="EM17" i="38" s="1"/>
  <c r="EB34" i="38"/>
  <c r="EM34" i="38" s="1"/>
  <c r="DC16" i="38"/>
  <c r="DO16" i="38"/>
  <c r="DC30" i="38"/>
  <c r="DO30" i="38"/>
  <c r="EC15" i="73"/>
  <c r="EN15" i="73" s="1"/>
  <c r="DZ29" i="73"/>
  <c r="EK29" i="73" s="1"/>
  <c r="DY29" i="73"/>
  <c r="EG24" i="73"/>
  <c r="ER24" i="73" s="1"/>
  <c r="ED12" i="73"/>
  <c r="EO12" i="73" s="1"/>
  <c r="ED34" i="73"/>
  <c r="EO34" i="73" s="1"/>
  <c r="EB32" i="73"/>
  <c r="EM32" i="73" s="1"/>
  <c r="EC17" i="73"/>
  <c r="EN17" i="73" s="1"/>
  <c r="EE26" i="73"/>
  <c r="EP26" i="73" s="1"/>
  <c r="EA28" i="73"/>
  <c r="EL28" i="73" s="1"/>
  <c r="EE15" i="73"/>
  <c r="EP15" i="73" s="1"/>
  <c r="EB18" i="73"/>
  <c r="EM18" i="73" s="1"/>
  <c r="EA33" i="73"/>
  <c r="EL33" i="73" s="1"/>
  <c r="EH32" i="73"/>
  <c r="ES32" i="73" s="1"/>
  <c r="EE34" i="73"/>
  <c r="EP34" i="73" s="1"/>
  <c r="ED18" i="73"/>
  <c r="EO18" i="73" s="1"/>
  <c r="EE18" i="73"/>
  <c r="EP18" i="73"/>
  <c r="EF12" i="73"/>
  <c r="EQ12" i="73" s="1"/>
  <c r="EH15" i="73"/>
  <c r="ES15" i="73" s="1"/>
  <c r="EF29" i="73"/>
  <c r="EQ29" i="73" s="1"/>
  <c r="EB28" i="73"/>
  <c r="EM28" i="73" s="1"/>
  <c r="ED28" i="73"/>
  <c r="EO28" i="73" s="1"/>
  <c r="EE19" i="73"/>
  <c r="EP19" i="73" s="1"/>
  <c r="EG26" i="73"/>
  <c r="ER26" i="73" s="1"/>
  <c r="EI13" i="73"/>
  <c r="ET13" i="73" s="1"/>
  <c r="EC27" i="73"/>
  <c r="EN27" i="73" s="1"/>
  <c r="EA23" i="73"/>
  <c r="EL23" i="73" s="1"/>
  <c r="EA30" i="73"/>
  <c r="EL30" i="73" s="1"/>
  <c r="EF5" i="73"/>
  <c r="EQ5" i="73" s="1"/>
  <c r="EG12" i="73"/>
  <c r="ER12" i="73" s="1"/>
  <c r="EA24" i="73"/>
  <c r="EL24" i="73" s="1"/>
  <c r="EF17" i="73"/>
  <c r="EQ17" i="73" s="1"/>
  <c r="EF33" i="73"/>
  <c r="EQ33" i="73" s="1"/>
  <c r="ED27" i="73"/>
  <c r="EO27" i="73" s="1"/>
  <c r="EF27" i="73"/>
  <c r="EQ27" i="73" s="1"/>
  <c r="DZ34" i="73"/>
  <c r="EK34" i="73" s="1"/>
  <c r="DY34" i="73"/>
  <c r="EE29" i="73"/>
  <c r="EP29" i="73" s="1"/>
  <c r="EB26" i="73"/>
  <c r="EM26" i="73" s="1"/>
  <c r="EH33" i="73"/>
  <c r="ES33" i="73" s="1"/>
  <c r="EG29" i="73"/>
  <c r="ER29" i="73" s="1"/>
  <c r="EA15" i="73"/>
  <c r="EL15" i="73" s="1"/>
  <c r="EH12" i="73"/>
  <c r="ES12" i="73" s="1"/>
  <c r="EH25" i="73"/>
  <c r="ES25" i="73"/>
  <c r="EB15" i="73"/>
  <c r="EM15" i="73" s="1"/>
  <c r="EI33" i="73"/>
  <c r="ET33" i="73" s="1"/>
  <c r="EI16" i="73"/>
  <c r="ET16" i="73" s="1"/>
  <c r="EG18" i="73"/>
  <c r="ER18" i="73" s="1"/>
  <c r="EH29" i="73"/>
  <c r="ES29" i="73" s="1"/>
  <c r="EI15" i="73"/>
  <c r="ET15" i="73" s="1"/>
  <c r="EH16" i="73"/>
  <c r="ES16" i="73" s="1"/>
  <c r="EH22" i="73"/>
  <c r="ES22" i="73" s="1"/>
  <c r="EI25" i="73"/>
  <c r="ET25" i="73" s="1"/>
  <c r="EC30" i="73"/>
  <c r="EN30" i="73" s="1"/>
  <c r="EA31" i="73"/>
  <c r="EL31" i="73" s="1"/>
  <c r="EB13" i="73"/>
  <c r="EM13" i="73" s="1"/>
  <c r="EA21" i="73"/>
  <c r="EL21" i="73" s="1"/>
  <c r="EB29" i="73"/>
  <c r="EM29" i="73" s="1"/>
  <c r="EB12" i="73"/>
  <c r="EM12" i="73" s="1"/>
  <c r="EF15" i="73"/>
  <c r="EQ15" i="73" s="1"/>
  <c r="EG23" i="73"/>
  <c r="ER23" i="73"/>
  <c r="EB30" i="73"/>
  <c r="EM30" i="73" s="1"/>
  <c r="EC29" i="73"/>
  <c r="EN29" i="73" s="1"/>
  <c r="EI22" i="73"/>
  <c r="ET22" i="73"/>
  <c r="EH19" i="73"/>
  <c r="ES19" i="73" s="1"/>
  <c r="EA14" i="73"/>
  <c r="EL14" i="73" s="1"/>
  <c r="EA19" i="73"/>
  <c r="EL19" i="73" s="1"/>
  <c r="EA5" i="73"/>
  <c r="EL5" i="73" s="1"/>
  <c r="ED31" i="73"/>
  <c r="EO31" i="73" s="1"/>
  <c r="EB19" i="73"/>
  <c r="EM19" i="73" s="1"/>
  <c r="EG16" i="73"/>
  <c r="ER16" i="73" s="1"/>
  <c r="EF31" i="73"/>
  <c r="EQ31" i="73"/>
  <c r="ED33" i="73"/>
  <c r="EO33" i="73" s="1"/>
  <c r="EG33" i="73"/>
  <c r="ER33" i="73" s="1"/>
  <c r="EG30" i="73"/>
  <c r="ER30" i="73" s="1"/>
  <c r="EI21" i="73"/>
  <c r="ET21" i="73"/>
  <c r="EH24" i="73"/>
  <c r="ES24" i="73" s="1"/>
  <c r="EC22" i="73"/>
  <c r="EN22" i="73" s="1"/>
  <c r="EC18" i="73"/>
  <c r="EN18" i="73" s="1"/>
  <c r="ED25" i="73"/>
  <c r="EO25" i="73" s="1"/>
  <c r="EA34" i="73"/>
  <c r="EL34" i="73" s="1"/>
  <c r="EC33" i="73"/>
  <c r="EN33" i="73" s="1"/>
  <c r="EH14" i="73"/>
  <c r="ES14" i="73" s="1"/>
  <c r="EG13" i="73"/>
  <c r="ER13" i="73" s="1"/>
  <c r="EA12" i="73"/>
  <c r="EL12" i="73" s="1"/>
  <c r="EF26" i="73"/>
  <c r="EQ26" i="73" s="1"/>
  <c r="ED17" i="73"/>
  <c r="EO17" i="73" s="1"/>
  <c r="EG34" i="73"/>
  <c r="ER34" i="73" s="1"/>
  <c r="EI14" i="73"/>
  <c r="ET14" i="73" s="1"/>
  <c r="EI31" i="73"/>
  <c r="ET31" i="73" s="1"/>
  <c r="EB17" i="73"/>
  <c r="EM17" i="73" s="1"/>
  <c r="EG15" i="73"/>
  <c r="ER15" i="73" s="1"/>
  <c r="ED29" i="73"/>
  <c r="EO29" i="73" s="1"/>
  <c r="EG27" i="73"/>
  <c r="ER27" i="73"/>
  <c r="ED16" i="73"/>
  <c r="EO16" i="73" s="1"/>
  <c r="EC21" i="73"/>
  <c r="EN21" i="73" s="1"/>
  <c r="EI12" i="73"/>
  <c r="ET12" i="73" s="1"/>
  <c r="EH28" i="73"/>
  <c r="ES28" i="73" s="1"/>
  <c r="ED30" i="73"/>
  <c r="EO30" i="73" s="1"/>
  <c r="EA22" i="73"/>
  <c r="EL22" i="73" s="1"/>
  <c r="EB21" i="73"/>
  <c r="EM21" i="73" s="1"/>
  <c r="EA25" i="73"/>
  <c r="EL25" i="73"/>
  <c r="EC19" i="73"/>
  <c r="EN19" i="73" s="1"/>
  <c r="EG32" i="73"/>
  <c r="ER32" i="73" s="1"/>
  <c r="EG22" i="73"/>
  <c r="ER22" i="73" s="1"/>
  <c r="EH34" i="73"/>
  <c r="ES34" i="73" s="1"/>
  <c r="EE5" i="73"/>
  <c r="EP5" i="73" s="1"/>
  <c r="ED21" i="73"/>
  <c r="EO21" i="73" s="1"/>
  <c r="EC32" i="73"/>
  <c r="EN32" i="73" s="1"/>
  <c r="EC12" i="73"/>
  <c r="EN12" i="73" s="1"/>
  <c r="EF28" i="73"/>
  <c r="EQ28" i="73" s="1"/>
  <c r="EF23" i="73"/>
  <c r="EQ23" i="73" s="1"/>
  <c r="DY18" i="73"/>
  <c r="DZ18" i="73"/>
  <c r="EK18" i="73" s="1"/>
  <c r="EH31" i="73"/>
  <c r="ES31" i="73" s="1"/>
  <c r="EG5" i="73"/>
  <c r="ER5" i="73" s="1"/>
  <c r="EE32" i="73"/>
  <c r="EP32" i="73" s="1"/>
  <c r="DO14" i="73"/>
  <c r="DC14" i="73"/>
  <c r="DZ25" i="73"/>
  <c r="EK25" i="73" s="1"/>
  <c r="DY25" i="73"/>
  <c r="EA18" i="73"/>
  <c r="EL18" i="73" s="1"/>
  <c r="EB31" i="73"/>
  <c r="EM31" i="73" s="1"/>
  <c r="EB20" i="73"/>
  <c r="EM20" i="73" s="1"/>
  <c r="EC25" i="73"/>
  <c r="EN25" i="73" s="1"/>
  <c r="EA16" i="73"/>
  <c r="EL16" i="73" s="1"/>
  <c r="ED24" i="73"/>
  <c r="EO24" i="73" s="1"/>
  <c r="EE22" i="73"/>
  <c r="EP22" i="73" s="1"/>
  <c r="EF25" i="73"/>
  <c r="EQ25" i="73" s="1"/>
  <c r="EC20" i="73"/>
  <c r="EN20" i="73" s="1"/>
  <c r="EA27" i="73"/>
  <c r="EL27" i="73" s="1"/>
  <c r="ED23" i="73"/>
  <c r="EO23" i="73" s="1"/>
  <c r="EB25" i="73"/>
  <c r="EM25" i="73" s="1"/>
  <c r="EC14" i="73"/>
  <c r="EN14" i="73"/>
  <c r="EE21" i="73"/>
  <c r="EP21" i="73" s="1"/>
  <c r="EI30" i="73"/>
  <c r="ET30" i="73" s="1"/>
  <c r="EG19" i="73"/>
  <c r="ER19" i="73" s="1"/>
  <c r="EC16" i="73"/>
  <c r="EN16" i="73" s="1"/>
  <c r="EB16" i="73"/>
  <c r="EM16" i="73" s="1"/>
  <c r="DZ20" i="73"/>
  <c r="EK20" i="73" s="1"/>
  <c r="DY20" i="73"/>
  <c r="EC24" i="73"/>
  <c r="EN24" i="73" s="1"/>
  <c r="EE12" i="73"/>
  <c r="EP12" i="73" s="1"/>
  <c r="EG28" i="73"/>
  <c r="ER28" i="73" s="1"/>
  <c r="EF22" i="73"/>
  <c r="EQ22" i="73" s="1"/>
  <c r="EG21" i="73"/>
  <c r="ER21" i="73" s="1"/>
  <c r="EC34" i="73"/>
  <c r="EN34" i="73" s="1"/>
  <c r="EA32" i="73"/>
  <c r="EL32" i="73" s="1"/>
  <c r="EF32" i="73"/>
  <c r="EQ32" i="73" s="1"/>
  <c r="EE33" i="73"/>
  <c r="EP33" i="73" s="1"/>
  <c r="DZ27" i="73"/>
  <c r="EK27" i="73" s="1"/>
  <c r="DY27" i="73"/>
  <c r="EF24" i="73"/>
  <c r="EQ24" i="73" s="1"/>
  <c r="DQ5" i="73"/>
  <c r="EI34" i="73"/>
  <c r="ET34" i="73" s="1"/>
  <c r="EI29" i="73"/>
  <c r="ET29" i="73" s="1"/>
  <c r="EE27" i="73"/>
  <c r="EP27" i="73" s="1"/>
  <c r="EF13" i="73"/>
  <c r="EQ13" i="73" s="1"/>
  <c r="EH18" i="73"/>
  <c r="ES18" i="73" s="1"/>
  <c r="ED5" i="73"/>
  <c r="EO5" i="73"/>
  <c r="DC19" i="73"/>
  <c r="DO19" i="73"/>
  <c r="EI28" i="73"/>
  <c r="ET28" i="73" s="1"/>
  <c r="EC26" i="73"/>
  <c r="EN26" i="73" s="1"/>
  <c r="EI26" i="73"/>
  <c r="ET26" i="73" s="1"/>
  <c r="EH5" i="73"/>
  <c r="ES5" i="73" s="1"/>
  <c r="DC32" i="73"/>
  <c r="DO32" i="73"/>
  <c r="EC23" i="73"/>
  <c r="EN23" i="73" s="1"/>
  <c r="EI27" i="73"/>
  <c r="ET27" i="73" s="1"/>
  <c r="EI32" i="73"/>
  <c r="ET32" i="73" s="1"/>
  <c r="EC13" i="73"/>
  <c r="EN13" i="73" s="1"/>
  <c r="DO33" i="73"/>
  <c r="DC33" i="73"/>
  <c r="DY22" i="73"/>
  <c r="DZ22" i="73"/>
  <c r="EK22" i="73" s="1"/>
  <c r="EU22" i="73" s="1"/>
  <c r="DO28" i="73"/>
  <c r="DC28" i="73"/>
  <c r="EH30" i="73"/>
  <c r="ES30" i="73" s="1"/>
  <c r="EI20" i="73"/>
  <c r="ET20" i="73" s="1"/>
  <c r="EA13" i="73"/>
  <c r="EL13" i="73" s="1"/>
  <c r="EE31" i="73"/>
  <c r="EP31" i="73" s="1"/>
  <c r="EH20" i="73"/>
  <c r="ES20" i="73" s="1"/>
  <c r="DC13" i="73"/>
  <c r="DO13" i="73"/>
  <c r="EI5" i="73"/>
  <c r="ET5" i="73" s="1"/>
  <c r="EH21" i="73"/>
  <c r="ES21" i="73" s="1"/>
  <c r="EB33" i="73"/>
  <c r="EM33" i="73" s="1"/>
  <c r="EH26" i="73"/>
  <c r="ES26" i="73" s="1"/>
  <c r="DO16" i="73"/>
  <c r="DC16" i="73"/>
  <c r="EG14" i="73"/>
  <c r="ER14" i="73" s="1"/>
  <c r="DZ12" i="73"/>
  <c r="EK12" i="73" s="1"/>
  <c r="DY12" i="73"/>
  <c r="EB14" i="73"/>
  <c r="EM14" i="73" s="1"/>
  <c r="EH13" i="73"/>
  <c r="ES13" i="73" s="1"/>
  <c r="EF20" i="73"/>
  <c r="EQ20" i="73" s="1"/>
  <c r="EB24" i="73"/>
  <c r="EM24" i="73" s="1"/>
  <c r="ED26" i="73"/>
  <c r="EO26" i="73" s="1"/>
  <c r="EE28" i="73"/>
  <c r="EP28" i="73" s="1"/>
  <c r="EB27" i="73"/>
  <c r="EM27" i="73" s="1"/>
  <c r="EG17" i="73"/>
  <c r="ER17" i="73" s="1"/>
  <c r="ED13" i="73"/>
  <c r="EO13" i="73" s="1"/>
  <c r="EA20" i="73"/>
  <c r="EL20" i="73" s="1"/>
  <c r="DC21" i="73"/>
  <c r="DO21" i="73"/>
  <c r="EF18" i="73"/>
  <c r="EQ18" i="73"/>
  <c r="EH27" i="73"/>
  <c r="ES27" i="73" s="1"/>
  <c r="EF16" i="73"/>
  <c r="EQ16" i="73" s="1"/>
  <c r="EC28" i="73"/>
  <c r="EN28" i="73" s="1"/>
  <c r="EF14" i="73"/>
  <c r="EQ14" i="73" s="1"/>
  <c r="DC30" i="73"/>
  <c r="DO30" i="73"/>
  <c r="EF34" i="73"/>
  <c r="EQ34" i="73" s="1"/>
  <c r="EA29" i="73"/>
  <c r="EL29" i="73" s="1"/>
  <c r="EB23" i="73"/>
  <c r="EM23" i="73" s="1"/>
  <c r="ED22" i="73"/>
  <c r="EO22" i="73" s="1"/>
  <c r="EI19" i="73"/>
  <c r="ET19" i="73" s="1"/>
  <c r="EG20" i="73"/>
  <c r="ER20" i="73" s="1"/>
  <c r="EE13" i="73"/>
  <c r="EP13" i="73" s="1"/>
  <c r="DC5" i="73"/>
  <c r="AM5" i="73" s="1"/>
  <c r="DO5" i="73"/>
  <c r="EE14" i="73"/>
  <c r="EP14" i="73" s="1"/>
  <c r="EF30" i="73"/>
  <c r="EQ30" i="73" s="1"/>
  <c r="EG25" i="73"/>
  <c r="ER25" i="73" s="1"/>
  <c r="EF19" i="73"/>
  <c r="EQ19" i="73" s="1"/>
  <c r="EF21" i="73"/>
  <c r="EQ21" i="73" s="1"/>
  <c r="EH17" i="73"/>
  <c r="ES17" i="73" s="1"/>
  <c r="EG31" i="73"/>
  <c r="ER31" i="73" s="1"/>
  <c r="EB22" i="73"/>
  <c r="EM22" i="73" s="1"/>
  <c r="EE30" i="73"/>
  <c r="EP30" i="73" s="1"/>
  <c r="EE17" i="73"/>
  <c r="EP17" i="73" s="1"/>
  <c r="DO23" i="73"/>
  <c r="DC23" i="73"/>
  <c r="EI18" i="73"/>
  <c r="ET18" i="73" s="1"/>
  <c r="EE24" i="73"/>
  <c r="EP24" i="73" s="1"/>
  <c r="EC31" i="73"/>
  <c r="EN31" i="73" s="1"/>
  <c r="ED14" i="73"/>
  <c r="EO14" i="73" s="1"/>
  <c r="EE20" i="73"/>
  <c r="EP20" i="73" s="1"/>
  <c r="DO24" i="73"/>
  <c r="DC24" i="73"/>
  <c r="DO31" i="73"/>
  <c r="DC31" i="73"/>
  <c r="ED32" i="73"/>
  <c r="EO32" i="73" s="1"/>
  <c r="DY17" i="73"/>
  <c r="DZ17" i="73"/>
  <c r="EK17" i="73" s="1"/>
  <c r="DC15" i="73"/>
  <c r="DO15" i="73"/>
  <c r="EH23" i="73"/>
  <c r="ES23" i="73" s="1"/>
  <c r="EE23" i="73"/>
  <c r="EP23" i="73" s="1"/>
  <c r="ED20" i="73"/>
  <c r="EO20" i="73" s="1"/>
  <c r="ED15" i="73"/>
  <c r="EO15" i="73" s="1"/>
  <c r="EE16" i="73"/>
  <c r="EP16" i="73" s="1"/>
  <c r="EB34" i="73"/>
  <c r="EM34" i="73" s="1"/>
  <c r="EA26" i="73"/>
  <c r="EL26" i="73" s="1"/>
  <c r="EI17" i="73"/>
  <c r="ET17" i="73" s="1"/>
  <c r="DO26" i="73"/>
  <c r="DC26" i="73"/>
  <c r="EI24" i="73"/>
  <c r="ET24" i="73" s="1"/>
  <c r="EA17" i="73"/>
  <c r="EL17" i="73" s="1"/>
  <c r="EI23" i="73"/>
  <c r="ET23" i="73" s="1"/>
  <c r="EC5" i="73"/>
  <c r="EN5" i="73" s="1"/>
  <c r="ED19" i="73"/>
  <c r="EO19" i="73" s="1"/>
  <c r="EE25" i="73"/>
  <c r="EP25" i="73" s="1"/>
  <c r="ET34" i="72"/>
  <c r="EM26" i="72"/>
  <c r="EU32" i="72"/>
  <c r="DY12" i="72"/>
  <c r="DZ12" i="72"/>
  <c r="EJ12" i="72" s="1"/>
  <c r="DP17" i="72"/>
  <c r="DC17" i="72"/>
  <c r="EL8" i="72"/>
  <c r="DY28" i="72"/>
  <c r="DZ28" i="72"/>
  <c r="DY34" i="72"/>
  <c r="DZ34" i="72"/>
  <c r="EJ34" i="72" s="1"/>
  <c r="EC6" i="72"/>
  <c r="EN6" i="72"/>
  <c r="EC31" i="72"/>
  <c r="EN31" i="72" s="1"/>
  <c r="EU31" i="72" s="1"/>
  <c r="DY19" i="72"/>
  <c r="DZ19" i="72"/>
  <c r="EJ19" i="72" s="1"/>
  <c r="DY30" i="72"/>
  <c r="DZ30" i="72"/>
  <c r="EK30" i="72" s="1"/>
  <c r="EU30" i="72" s="1"/>
  <c r="DY25" i="72"/>
  <c r="DZ25" i="72"/>
  <c r="EK25" i="72" s="1"/>
  <c r="DY16" i="72"/>
  <c r="DZ16" i="72"/>
  <c r="EJ16" i="72" s="1"/>
  <c r="EU29" i="72"/>
  <c r="DP23" i="72"/>
  <c r="DC23" i="72"/>
  <c r="DY20" i="72"/>
  <c r="DZ20" i="72"/>
  <c r="EJ20" i="72" s="1"/>
  <c r="EK20" i="72"/>
  <c r="EU20" i="72" s="1"/>
  <c r="DP21" i="72"/>
  <c r="DC21" i="72"/>
  <c r="EA25" i="72"/>
  <c r="EL25" i="72" s="1"/>
  <c r="DY7" i="72"/>
  <c r="DZ7" i="72"/>
  <c r="EJ7" i="72" s="1"/>
  <c r="EI30" i="72"/>
  <c r="ET30" i="72" s="1"/>
  <c r="EA28" i="72"/>
  <c r="EL28" i="72" s="1"/>
  <c r="EI8" i="72"/>
  <c r="ET8" i="72" s="1"/>
  <c r="EC7" i="72"/>
  <c r="EN7" i="72" s="1"/>
  <c r="EA19" i="72"/>
  <c r="EL19" i="72" s="1"/>
  <c r="DP33" i="72"/>
  <c r="DC33" i="72"/>
  <c r="DZ27" i="72"/>
  <c r="EJ27" i="72" s="1"/>
  <c r="DY27" i="72"/>
  <c r="EJ31" i="72"/>
  <c r="EA15" i="72"/>
  <c r="EL15" i="72" s="1"/>
  <c r="DP22" i="72"/>
  <c r="DC22" i="72"/>
  <c r="DP18" i="72"/>
  <c r="DC18" i="72"/>
  <c r="DY24" i="72"/>
  <c r="DZ24" i="72"/>
  <c r="EJ24" i="72" s="1"/>
  <c r="EK24" i="72"/>
  <c r="EU24" i="72" s="1"/>
  <c r="DZ15" i="72"/>
  <c r="EJ15" i="72" s="1"/>
  <c r="DY15" i="72"/>
  <c r="EI17" i="72"/>
  <c r="ET17" i="72" s="1"/>
  <c r="DP6" i="72"/>
  <c r="DC6" i="72"/>
  <c r="EF5" i="72"/>
  <c r="EQ5" i="72" s="1"/>
  <c r="EC5" i="72"/>
  <c r="EN5" i="72" s="1"/>
  <c r="EA5" i="72"/>
  <c r="EL5" i="72" s="1"/>
  <c r="ED5" i="72"/>
  <c r="EO5" i="72" s="1"/>
  <c r="EG5" i="72"/>
  <c r="ER5" i="72" s="1"/>
  <c r="EH5" i="72"/>
  <c r="ES5" i="72" s="1"/>
  <c r="EI5" i="72"/>
  <c r="ET5" i="72" s="1"/>
  <c r="DC5" i="72"/>
  <c r="AM5" i="72" s="1"/>
  <c r="DO5" i="72"/>
  <c r="AT5" i="72"/>
  <c r="EE5" i="72"/>
  <c r="EP5" i="72" s="1"/>
  <c r="EX5" i="72"/>
  <c r="EZ5" i="72" s="1"/>
  <c r="DQ5" i="72"/>
  <c r="BG6" i="39"/>
  <c r="AE5" i="68"/>
  <c r="DD20" i="68"/>
  <c r="DD19" i="68"/>
  <c r="DD18" i="68"/>
  <c r="DD17" i="68"/>
  <c r="DD16" i="68"/>
  <c r="DD15" i="68"/>
  <c r="DD14" i="68"/>
  <c r="CG14" i="68"/>
  <c r="CF14" i="68"/>
  <c r="CE14" i="68"/>
  <c r="CD14" i="68"/>
  <c r="CB14" i="68"/>
  <c r="CA14" i="68"/>
  <c r="BZ14" i="68"/>
  <c r="BY14" i="68"/>
  <c r="CQ4" i="68" s="1"/>
  <c r="DB4" i="68" s="1"/>
  <c r="DN4" i="68" s="1"/>
  <c r="DX4" i="68" s="1"/>
  <c r="EI4" i="68" s="1"/>
  <c r="ET4" i="68" s="1"/>
  <c r="DD13" i="68"/>
  <c r="CG13" i="68"/>
  <c r="CF13" i="68"/>
  <c r="CE13" i="68"/>
  <c r="CD13" i="68"/>
  <c r="CB13" i="68"/>
  <c r="CA13" i="68"/>
  <c r="BZ13" i="68"/>
  <c r="BY13" i="68"/>
  <c r="CP4" i="68" s="1"/>
  <c r="DD12" i="68"/>
  <c r="CF12" i="68"/>
  <c r="CE12" i="68"/>
  <c r="CD12" i="68"/>
  <c r="CG12" i="68" s="1"/>
  <c r="CB12" i="68"/>
  <c r="CA12" i="68"/>
  <c r="BZ12" i="68"/>
  <c r="BY12" i="68"/>
  <c r="DD11" i="68"/>
  <c r="CF11" i="68"/>
  <c r="CE11" i="68"/>
  <c r="CD11" i="68"/>
  <c r="CG11" i="68" s="1"/>
  <c r="CB11" i="68"/>
  <c r="CA11" i="68"/>
  <c r="BZ11" i="68"/>
  <c r="BY11" i="68"/>
  <c r="CN4" i="68" s="1"/>
  <c r="DD10" i="68"/>
  <c r="CG10" i="68"/>
  <c r="CF10" i="68"/>
  <c r="CE10" i="68"/>
  <c r="CD10" i="68"/>
  <c r="CB10" i="68"/>
  <c r="CA10" i="68"/>
  <c r="BZ10" i="68"/>
  <c r="BY10" i="68"/>
  <c r="CM4" i="68" s="1"/>
  <c r="DD9" i="68"/>
  <c r="CF9" i="68"/>
  <c r="CE9" i="68"/>
  <c r="CD9" i="68"/>
  <c r="CG9" i="68" s="1"/>
  <c r="CB9" i="68"/>
  <c r="CA9" i="68"/>
  <c r="BZ9" i="68"/>
  <c r="BY9" i="68"/>
  <c r="CL4" i="68" s="1"/>
  <c r="CW4" i="68" s="1"/>
  <c r="DD8" i="68"/>
  <c r="CF8" i="68"/>
  <c r="CE8" i="68"/>
  <c r="CD8" i="68"/>
  <c r="CG8" i="68" s="1"/>
  <c r="CB8" i="68"/>
  <c r="CA8" i="68"/>
  <c r="BZ8" i="68"/>
  <c r="BY8" i="68"/>
  <c r="CK4" i="68" s="1"/>
  <c r="CV4" i="68" s="1"/>
  <c r="DH4" i="68" s="1"/>
  <c r="DR4" i="68" s="1"/>
  <c r="EC4" i="68" s="1"/>
  <c r="EN4" i="68" s="1"/>
  <c r="DD7" i="68"/>
  <c r="CG7" i="68"/>
  <c r="CF7" i="68"/>
  <c r="CE7" i="68"/>
  <c r="CD7" i="68"/>
  <c r="CB7" i="68"/>
  <c r="CA7" i="68"/>
  <c r="BZ7" i="68"/>
  <c r="BY7" i="68"/>
  <c r="DD6" i="68"/>
  <c r="CF6" i="68"/>
  <c r="CE6" i="68"/>
  <c r="CD6" i="68"/>
  <c r="CG6" i="68" s="1"/>
  <c r="CB6" i="68"/>
  <c r="CA6" i="68"/>
  <c r="BZ6" i="68"/>
  <c r="BY6" i="68"/>
  <c r="CF5" i="68"/>
  <c r="CE5" i="68"/>
  <c r="CD5" i="68"/>
  <c r="CG5" i="68" s="1"/>
  <c r="CB5" i="68"/>
  <c r="CA5" i="68"/>
  <c r="BZ5" i="68"/>
  <c r="BY5" i="68"/>
  <c r="CH4" i="68" s="1"/>
  <c r="CS4" i="68" s="1"/>
  <c r="DE4" i="68" s="1"/>
  <c r="DO4" i="68" s="1"/>
  <c r="DZ4" i="68" s="1"/>
  <c r="EK4" i="68" s="1"/>
  <c r="BG5" i="68"/>
  <c r="AJ5" i="68"/>
  <c r="EG4" i="68"/>
  <c r="ER4" i="68" s="1"/>
  <c r="DK4" i="68"/>
  <c r="DU4" i="68" s="1"/>
  <c r="EF4" i="68" s="1"/>
  <c r="EQ4" i="68" s="1"/>
  <c r="DJ4" i="68"/>
  <c r="DT4" i="68" s="1"/>
  <c r="EE4" i="68" s="1"/>
  <c r="EP4" i="68" s="1"/>
  <c r="DI4" i="68"/>
  <c r="DS4" i="68" s="1"/>
  <c r="ED4" i="68" s="1"/>
  <c r="EO4" i="68" s="1"/>
  <c r="DA4" i="68"/>
  <c r="DM4" i="68" s="1"/>
  <c r="DW4" i="68" s="1"/>
  <c r="EH4" i="68" s="1"/>
  <c r="ES4" i="68" s="1"/>
  <c r="CZ4" i="68"/>
  <c r="DL4" i="68" s="1"/>
  <c r="DV4" i="68" s="1"/>
  <c r="CY4" i="68"/>
  <c r="CX4" i="68"/>
  <c r="CO4" i="68"/>
  <c r="CJ4" i="68"/>
  <c r="CU4" i="68" s="1"/>
  <c r="DG4" i="68" s="1"/>
  <c r="DQ4" i="68" s="1"/>
  <c r="EB4" i="68" s="1"/>
  <c r="EM4" i="68" s="1"/>
  <c r="CI4" i="68"/>
  <c r="CT4" i="68" s="1"/>
  <c r="DF4" i="68" s="1"/>
  <c r="DP4" i="68" s="1"/>
  <c r="EA4" i="68" s="1"/>
  <c r="EL4" i="68" s="1"/>
  <c r="CC4" i="68"/>
  <c r="CB4" i="68"/>
  <c r="CA4" i="68"/>
  <c r="BZ4" i="68"/>
  <c r="AE5" i="69"/>
  <c r="DD20" i="69"/>
  <c r="DD19" i="69"/>
  <c r="DD18" i="69"/>
  <c r="DD17" i="69"/>
  <c r="DD16" i="69"/>
  <c r="DD15" i="69"/>
  <c r="DD14" i="69"/>
  <c r="CG14" i="69"/>
  <c r="CF14" i="69"/>
  <c r="CE14" i="69"/>
  <c r="CD14" i="69"/>
  <c r="CB14" i="69"/>
  <c r="CA14" i="69"/>
  <c r="BZ14" i="69"/>
  <c r="BY14" i="69"/>
  <c r="DD13" i="69"/>
  <c r="CG13" i="69"/>
  <c r="CF13" i="69"/>
  <c r="CE13" i="69"/>
  <c r="CD13" i="69"/>
  <c r="CB13" i="69"/>
  <c r="CA13" i="69"/>
  <c r="BZ13" i="69"/>
  <c r="BY13" i="69"/>
  <c r="DD12" i="69"/>
  <c r="CF12" i="69"/>
  <c r="CE12" i="69"/>
  <c r="CD12" i="69"/>
  <c r="CG12" i="69" s="1"/>
  <c r="CB12" i="69"/>
  <c r="CA12" i="69"/>
  <c r="BZ12" i="69"/>
  <c r="BY12" i="69"/>
  <c r="DD11" i="69"/>
  <c r="CG11" i="69"/>
  <c r="CF11" i="69"/>
  <c r="CE11" i="69"/>
  <c r="CD11" i="69"/>
  <c r="CB11" i="69"/>
  <c r="CA11" i="69"/>
  <c r="BZ11" i="69"/>
  <c r="BY11" i="69"/>
  <c r="DD10" i="69"/>
  <c r="CF10" i="69"/>
  <c r="CE10" i="69"/>
  <c r="CD10" i="69"/>
  <c r="CG10" i="69" s="1"/>
  <c r="CB10" i="69"/>
  <c r="CA10" i="69"/>
  <c r="BZ10" i="69"/>
  <c r="BY10" i="69"/>
  <c r="DD9" i="69"/>
  <c r="CG9" i="69"/>
  <c r="CF9" i="69"/>
  <c r="CE9" i="69"/>
  <c r="CD9" i="69"/>
  <c r="CB9" i="69"/>
  <c r="CA9" i="69"/>
  <c r="BZ9" i="69"/>
  <c r="BY9" i="69"/>
  <c r="CL4" i="69" s="1"/>
  <c r="CW4" i="69" s="1"/>
  <c r="DI4" i="69" s="1"/>
  <c r="DS4" i="69" s="1"/>
  <c r="ED4" i="69" s="1"/>
  <c r="EO4" i="69" s="1"/>
  <c r="DD8" i="69"/>
  <c r="CF8" i="69"/>
  <c r="CE8" i="69"/>
  <c r="CD8" i="69"/>
  <c r="CG8" i="69" s="1"/>
  <c r="CB8" i="69"/>
  <c r="CA8" i="69"/>
  <c r="BZ8" i="69"/>
  <c r="BY8" i="69"/>
  <c r="CK4" i="69" s="1"/>
  <c r="FA7" i="69"/>
  <c r="EZ7" i="69"/>
  <c r="EV7" i="69"/>
  <c r="DD7" i="69"/>
  <c r="CG7" i="69"/>
  <c r="CF7" i="69"/>
  <c r="CE7" i="69"/>
  <c r="CD7" i="69"/>
  <c r="CB7" i="69"/>
  <c r="CA7" i="69"/>
  <c r="BZ7" i="69"/>
  <c r="BY7" i="69"/>
  <c r="DD6" i="69"/>
  <c r="CF6" i="69"/>
  <c r="CE6" i="69"/>
  <c r="CD6" i="69"/>
  <c r="CG6" i="69" s="1"/>
  <c r="CB6" i="69"/>
  <c r="CA6" i="69"/>
  <c r="BZ6" i="69"/>
  <c r="BY6" i="69"/>
  <c r="EV5" i="69"/>
  <c r="CF5" i="69"/>
  <c r="CE5" i="69"/>
  <c r="CD5" i="69"/>
  <c r="CG5" i="69" s="1"/>
  <c r="CB5" i="69"/>
  <c r="CA5" i="69"/>
  <c r="BZ5" i="69"/>
  <c r="BY5" i="69"/>
  <c r="CH4" i="69" s="1"/>
  <c r="BG5" i="69"/>
  <c r="AJ5" i="69"/>
  <c r="AI5" i="69"/>
  <c r="AF5" i="69"/>
  <c r="EN4" i="69"/>
  <c r="EC4" i="69"/>
  <c r="EB4" i="69"/>
  <c r="EM4" i="69" s="1"/>
  <c r="DP4" i="69"/>
  <c r="EA4" i="69" s="1"/>
  <c r="EL4" i="69" s="1"/>
  <c r="DH4" i="69"/>
  <c r="DR4" i="69" s="1"/>
  <c r="DG4" i="69"/>
  <c r="DQ4" i="69" s="1"/>
  <c r="CV4" i="69"/>
  <c r="CT4" i="69"/>
  <c r="DF4" i="69" s="1"/>
  <c r="CS4" i="69"/>
  <c r="DE4" i="69" s="1"/>
  <c r="DO4" i="69" s="1"/>
  <c r="DZ4" i="69" s="1"/>
  <c r="EK4" i="69" s="1"/>
  <c r="CQ4" i="69"/>
  <c r="DB4" i="69" s="1"/>
  <c r="DN4" i="69" s="1"/>
  <c r="DX4" i="69" s="1"/>
  <c r="EI4" i="69" s="1"/>
  <c r="ET4" i="69" s="1"/>
  <c r="CP4" i="69"/>
  <c r="DA4" i="69" s="1"/>
  <c r="DM4" i="69" s="1"/>
  <c r="DW4" i="69" s="1"/>
  <c r="EH4" i="69" s="1"/>
  <c r="ES4" i="69" s="1"/>
  <c r="CO4" i="69"/>
  <c r="CZ4" i="69" s="1"/>
  <c r="DL4" i="69" s="1"/>
  <c r="DV4" i="69" s="1"/>
  <c r="EG4" i="69" s="1"/>
  <c r="ER4" i="69" s="1"/>
  <c r="CN4" i="69"/>
  <c r="CY4" i="69" s="1"/>
  <c r="DK4" i="69" s="1"/>
  <c r="DU4" i="69" s="1"/>
  <c r="EF4" i="69" s="1"/>
  <c r="EQ4" i="69" s="1"/>
  <c r="CM4" i="69"/>
  <c r="CX4" i="69" s="1"/>
  <c r="DJ4" i="69" s="1"/>
  <c r="DT4" i="69" s="1"/>
  <c r="EE4" i="69" s="1"/>
  <c r="EP4" i="69" s="1"/>
  <c r="CJ4" i="69"/>
  <c r="CU4" i="69" s="1"/>
  <c r="CI4" i="69"/>
  <c r="CC4" i="69"/>
  <c r="CB4" i="69"/>
  <c r="CA4" i="69"/>
  <c r="BZ4" i="69"/>
  <c r="AA16" i="34" l="1"/>
  <c r="AB16" i="34" s="1"/>
  <c r="AD13" i="34"/>
  <c r="DG16" i="34"/>
  <c r="DK16" i="34" s="1"/>
  <c r="AC16" i="34" s="1"/>
  <c r="EU27" i="74"/>
  <c r="AP27" i="74"/>
  <c r="EU23" i="74"/>
  <c r="AP23" i="74"/>
  <c r="AP26" i="74"/>
  <c r="EU26" i="74"/>
  <c r="AP25" i="74"/>
  <c r="EU25" i="74"/>
  <c r="EK7" i="72"/>
  <c r="EK13" i="72"/>
  <c r="EU13" i="72" s="1"/>
  <c r="EK20" i="75"/>
  <c r="EK16" i="72"/>
  <c r="EU16" i="72" s="1"/>
  <c r="DY9" i="75"/>
  <c r="DZ9" i="75"/>
  <c r="EJ9" i="75" s="1"/>
  <c r="EU19" i="75"/>
  <c r="DZ10" i="75"/>
  <c r="EJ10" i="75" s="1"/>
  <c r="DY10" i="75"/>
  <c r="EK11" i="75"/>
  <c r="EU11" i="75" s="1"/>
  <c r="EK12" i="75"/>
  <c r="EU12" i="75" s="1"/>
  <c r="DZ13" i="75"/>
  <c r="EJ13" i="75" s="1"/>
  <c r="DY13" i="75"/>
  <c r="EJ16" i="75"/>
  <c r="DZ5" i="75"/>
  <c r="EJ5" i="75" s="1"/>
  <c r="AO5" i="75" s="1"/>
  <c r="AP5" i="75" s="1"/>
  <c r="DY5" i="75"/>
  <c r="DY14" i="75"/>
  <c r="DZ14" i="75"/>
  <c r="EJ14" i="75" s="1"/>
  <c r="EU20" i="75"/>
  <c r="DZ18" i="75"/>
  <c r="EJ18" i="75" s="1"/>
  <c r="DY18" i="75"/>
  <c r="DZ7" i="75"/>
  <c r="EJ7" i="75" s="1"/>
  <c r="AO7" i="75" s="1"/>
  <c r="AP7" i="75" s="1"/>
  <c r="DY7" i="75"/>
  <c r="EK16" i="75"/>
  <c r="EU16" i="75" s="1"/>
  <c r="DY21" i="75"/>
  <c r="DZ21" i="75"/>
  <c r="EJ21" i="75" s="1"/>
  <c r="EJ19" i="75"/>
  <c r="DY17" i="75"/>
  <c r="DZ17" i="75"/>
  <c r="EJ17" i="75" s="1"/>
  <c r="DY15" i="75"/>
  <c r="DZ15" i="75"/>
  <c r="EJ15" i="75" s="1"/>
  <c r="DZ6" i="75"/>
  <c r="EJ6" i="75" s="1"/>
  <c r="AO6" i="75" s="1"/>
  <c r="AP6" i="75" s="1"/>
  <c r="DY6" i="75"/>
  <c r="DY8" i="75"/>
  <c r="DZ8" i="75"/>
  <c r="EJ8" i="75" s="1"/>
  <c r="AO8" i="75" s="1"/>
  <c r="AP8" i="75" s="1"/>
  <c r="FA7" i="72"/>
  <c r="FB7" i="72" s="1"/>
  <c r="EJ32" i="72"/>
  <c r="EJ7" i="74"/>
  <c r="AO7" i="74" s="1"/>
  <c r="AP7" i="74" s="1"/>
  <c r="DY14" i="72"/>
  <c r="DZ14" i="72"/>
  <c r="EJ14" i="72" s="1"/>
  <c r="EB6" i="72"/>
  <c r="EM6" i="72" s="1"/>
  <c r="DZ6" i="74"/>
  <c r="EJ6" i="74" s="1"/>
  <c r="AO6" i="74" s="1"/>
  <c r="AP6" i="74" s="1"/>
  <c r="DY6" i="74"/>
  <c r="EJ18" i="74"/>
  <c r="AO18" i="74" s="1"/>
  <c r="AP18" i="74" s="1"/>
  <c r="EJ14" i="74"/>
  <c r="AO14" i="74" s="1"/>
  <c r="AP14" i="74" s="1"/>
  <c r="DY19" i="74"/>
  <c r="DZ19" i="74"/>
  <c r="EJ19" i="74" s="1"/>
  <c r="AO19" i="74" s="1"/>
  <c r="AP19" i="74" s="1"/>
  <c r="EK7" i="74"/>
  <c r="EU7" i="74" s="1"/>
  <c r="AQ7" i="74" s="1"/>
  <c r="DZ8" i="74"/>
  <c r="EJ8" i="74" s="1"/>
  <c r="AO8" i="74" s="1"/>
  <c r="AP8" i="74" s="1"/>
  <c r="DY8" i="74"/>
  <c r="DZ10" i="74"/>
  <c r="EJ10" i="74" s="1"/>
  <c r="AO10" i="74" s="1"/>
  <c r="AP10" i="74" s="1"/>
  <c r="DY10" i="74"/>
  <c r="EU5" i="74"/>
  <c r="AQ5" i="74" s="1"/>
  <c r="EJ11" i="74"/>
  <c r="AO11" i="74" s="1"/>
  <c r="AP11" i="74" s="1"/>
  <c r="EJ17" i="74"/>
  <c r="AO17" i="74" s="1"/>
  <c r="AP17" i="74" s="1"/>
  <c r="EJ5" i="74"/>
  <c r="AO5" i="74" s="1"/>
  <c r="AP5" i="74" s="1"/>
  <c r="AR5" i="74" s="1"/>
  <c r="EK14" i="74"/>
  <c r="EU14" i="74" s="1"/>
  <c r="AQ14" i="74" s="1"/>
  <c r="DZ16" i="74"/>
  <c r="EJ16" i="74" s="1"/>
  <c r="AO16" i="74" s="1"/>
  <c r="AP16" i="74" s="1"/>
  <c r="DY16" i="74"/>
  <c r="DY12" i="74"/>
  <c r="DZ12" i="74"/>
  <c r="EJ12" i="74" s="1"/>
  <c r="AO12" i="74" s="1"/>
  <c r="AP12" i="74" s="1"/>
  <c r="DZ15" i="74"/>
  <c r="EJ15" i="74" s="1"/>
  <c r="AO15" i="74" s="1"/>
  <c r="AP15" i="74" s="1"/>
  <c r="DY15" i="74"/>
  <c r="EK11" i="74"/>
  <c r="EU11" i="74" s="1"/>
  <c r="AQ11" i="74" s="1"/>
  <c r="DZ13" i="74"/>
  <c r="EJ13" i="74" s="1"/>
  <c r="AO13" i="74" s="1"/>
  <c r="AP13" i="74" s="1"/>
  <c r="DY13" i="74"/>
  <c r="EU9" i="74"/>
  <c r="AQ9" i="74" s="1"/>
  <c r="DY21" i="74"/>
  <c r="DZ21" i="74"/>
  <c r="EJ21" i="74" s="1"/>
  <c r="AO21" i="74" s="1"/>
  <c r="AP21" i="74" s="1"/>
  <c r="DZ20" i="74"/>
  <c r="EJ20" i="74" s="1"/>
  <c r="AO20" i="74" s="1"/>
  <c r="AP20" i="74" s="1"/>
  <c r="DY20" i="74"/>
  <c r="EU18" i="74"/>
  <c r="AQ18" i="74" s="1"/>
  <c r="EU17" i="74"/>
  <c r="AQ17" i="74" s="1"/>
  <c r="EJ9" i="74"/>
  <c r="AO9" i="74" s="1"/>
  <c r="AP9" i="74" s="1"/>
  <c r="EU11" i="38"/>
  <c r="AQ11" i="38" s="1"/>
  <c r="EJ27" i="38"/>
  <c r="DY17" i="38"/>
  <c r="DZ17" i="38"/>
  <c r="EJ17" i="38" s="1"/>
  <c r="EJ5" i="38"/>
  <c r="AO5" i="38" s="1"/>
  <c r="AP5" i="38" s="1"/>
  <c r="EJ31" i="38"/>
  <c r="DZ33" i="38"/>
  <c r="EJ33" i="38" s="1"/>
  <c r="DY33" i="38"/>
  <c r="DZ20" i="38"/>
  <c r="EJ20" i="38" s="1"/>
  <c r="EK20" i="38"/>
  <c r="EU20" i="38" s="1"/>
  <c r="DY20" i="38"/>
  <c r="DZ18" i="38"/>
  <c r="EJ18" i="38" s="1"/>
  <c r="DY18" i="38"/>
  <c r="EJ13" i="38"/>
  <c r="EU23" i="38"/>
  <c r="EU22" i="38"/>
  <c r="DY29" i="38"/>
  <c r="DZ29" i="38"/>
  <c r="EJ29" i="38" s="1"/>
  <c r="DZ26" i="38"/>
  <c r="EJ26" i="38" s="1"/>
  <c r="DY26" i="38"/>
  <c r="EU31" i="38"/>
  <c r="EU15" i="38"/>
  <c r="DZ25" i="38"/>
  <c r="EJ25" i="38" s="1"/>
  <c r="DY25" i="38"/>
  <c r="DY10" i="38"/>
  <c r="DZ10" i="38"/>
  <c r="EJ10" i="38" s="1"/>
  <c r="AO10" i="38" s="1"/>
  <c r="AP10" i="38" s="1"/>
  <c r="EJ11" i="38"/>
  <c r="AO11" i="38" s="1"/>
  <c r="AP11" i="38" s="1"/>
  <c r="EJ22" i="38"/>
  <c r="EK13" i="38"/>
  <c r="EU13" i="38" s="1"/>
  <c r="EJ23" i="38"/>
  <c r="DZ30" i="38"/>
  <c r="EJ30" i="38" s="1"/>
  <c r="DY30" i="38"/>
  <c r="DY21" i="38"/>
  <c r="DZ21" i="38"/>
  <c r="EJ21" i="38" s="1"/>
  <c r="DZ16" i="38"/>
  <c r="EJ16" i="38" s="1"/>
  <c r="DY16" i="38"/>
  <c r="EU5" i="38"/>
  <c r="AQ5" i="38" s="1"/>
  <c r="DZ6" i="38"/>
  <c r="EJ6" i="38" s="1"/>
  <c r="AO6" i="38" s="1"/>
  <c r="AP6" i="38" s="1"/>
  <c r="DY6" i="38"/>
  <c r="DZ32" i="38"/>
  <c r="EJ32" i="38" s="1"/>
  <c r="DY32" i="38"/>
  <c r="DZ19" i="38"/>
  <c r="EJ19" i="38" s="1"/>
  <c r="DY19" i="38"/>
  <c r="EK19" i="38"/>
  <c r="EU19" i="38" s="1"/>
  <c r="EK27" i="38"/>
  <c r="EU27" i="38" s="1"/>
  <c r="DY24" i="38"/>
  <c r="DZ24" i="38"/>
  <c r="EJ24" i="38" s="1"/>
  <c r="DZ34" i="38"/>
  <c r="EJ34" i="38" s="1"/>
  <c r="DY34" i="38"/>
  <c r="DY14" i="38"/>
  <c r="DZ14" i="38"/>
  <c r="EJ14" i="38" s="1"/>
  <c r="EK14" i="38"/>
  <c r="EU14" i="38" s="1"/>
  <c r="EJ15" i="38"/>
  <c r="EU18" i="73"/>
  <c r="EU34" i="73"/>
  <c r="EU17" i="73"/>
  <c r="EU29" i="73"/>
  <c r="DZ5" i="73"/>
  <c r="EK5" i="73" s="1"/>
  <c r="DY5" i="73"/>
  <c r="DZ15" i="73"/>
  <c r="EJ15" i="73" s="1"/>
  <c r="DY15" i="73"/>
  <c r="EU20" i="73"/>
  <c r="EJ34" i="73"/>
  <c r="DZ30" i="73"/>
  <c r="EJ30" i="73" s="1"/>
  <c r="DY30" i="73"/>
  <c r="DZ19" i="73"/>
  <c r="EJ19" i="73" s="1"/>
  <c r="DY19" i="73"/>
  <c r="DZ28" i="73"/>
  <c r="EJ28" i="73" s="1"/>
  <c r="DY28" i="73"/>
  <c r="DZ32" i="73"/>
  <c r="EJ32" i="73" s="1"/>
  <c r="DY32" i="73"/>
  <c r="EJ27" i="73"/>
  <c r="DY26" i="73"/>
  <c r="DZ26" i="73"/>
  <c r="EJ26" i="73" s="1"/>
  <c r="DY31" i="73"/>
  <c r="DZ31" i="73"/>
  <c r="EJ31" i="73" s="1"/>
  <c r="DY23" i="73"/>
  <c r="DZ23" i="73"/>
  <c r="EJ23" i="73" s="1"/>
  <c r="EJ12" i="73"/>
  <c r="DZ13" i="73"/>
  <c r="EJ13" i="73" s="1"/>
  <c r="DY13" i="73"/>
  <c r="EU27" i="73"/>
  <c r="EU25" i="73"/>
  <c r="EJ29" i="73"/>
  <c r="EJ25" i="73"/>
  <c r="DZ14" i="73"/>
  <c r="EJ14" i="73" s="1"/>
  <c r="DY14" i="73"/>
  <c r="DZ16" i="73"/>
  <c r="EJ16" i="73" s="1"/>
  <c r="DY16" i="73"/>
  <c r="EJ20" i="73"/>
  <c r="EJ17" i="73"/>
  <c r="EB5" i="73"/>
  <c r="EM5" i="73" s="1"/>
  <c r="EJ18" i="73"/>
  <c r="EJ22" i="73"/>
  <c r="EU12" i="73"/>
  <c r="DZ24" i="73"/>
  <c r="EJ24" i="73" s="1"/>
  <c r="DY24" i="73"/>
  <c r="DY21" i="73"/>
  <c r="DZ21" i="73"/>
  <c r="EJ21" i="73" s="1"/>
  <c r="DZ33" i="73"/>
  <c r="EJ33" i="73" s="1"/>
  <c r="DY33" i="73"/>
  <c r="EK12" i="72"/>
  <c r="EU12" i="72" s="1"/>
  <c r="EK19" i="72"/>
  <c r="EU19" i="72" s="1"/>
  <c r="EJ25" i="72"/>
  <c r="EU7" i="72"/>
  <c r="EA21" i="72"/>
  <c r="EJ21" i="72" s="1"/>
  <c r="DY21" i="72"/>
  <c r="EA22" i="72"/>
  <c r="EJ22" i="72" s="1"/>
  <c r="DY22" i="72"/>
  <c r="EJ8" i="72"/>
  <c r="EU8" i="72"/>
  <c r="EK27" i="72"/>
  <c r="EU27" i="72" s="1"/>
  <c r="EA6" i="72"/>
  <c r="EJ6" i="72" s="1"/>
  <c r="DY6" i="72"/>
  <c r="EA18" i="72"/>
  <c r="EJ18" i="72" s="1"/>
  <c r="DY18" i="72"/>
  <c r="EK15" i="72"/>
  <c r="EU15" i="72" s="1"/>
  <c r="EK34" i="72"/>
  <c r="EU34" i="72" s="1"/>
  <c r="EA17" i="72"/>
  <c r="EJ17" i="72" s="1"/>
  <c r="DY17" i="72"/>
  <c r="EA33" i="72"/>
  <c r="EJ33" i="72" s="1"/>
  <c r="EL33" i="72"/>
  <c r="EU33" i="72" s="1"/>
  <c r="DY33" i="72"/>
  <c r="EJ28" i="72"/>
  <c r="EA23" i="72"/>
  <c r="EJ23" i="72" s="1"/>
  <c r="DY23" i="72"/>
  <c r="EU25" i="72"/>
  <c r="EJ30" i="72"/>
  <c r="EK28" i="72"/>
  <c r="EU28" i="72" s="1"/>
  <c r="EB5" i="72"/>
  <c r="EM5" i="72" s="1"/>
  <c r="DZ5" i="72"/>
  <c r="EK5" i="72" s="1"/>
  <c r="DY5" i="72"/>
  <c r="FA5" i="72"/>
  <c r="FB5" i="72" s="1"/>
  <c r="CP5" i="68"/>
  <c r="DA5" i="68" s="1"/>
  <c r="CH6" i="69"/>
  <c r="CR6" i="69" s="1"/>
  <c r="CH19" i="69"/>
  <c r="CR19" i="69" s="1"/>
  <c r="CH5" i="69"/>
  <c r="CS5" i="69" s="1"/>
  <c r="CD4" i="69"/>
  <c r="CP6" i="69" s="1"/>
  <c r="DA6" i="69" s="1"/>
  <c r="CH8" i="69"/>
  <c r="CR8" i="69" s="1"/>
  <c r="CO5" i="69"/>
  <c r="CZ5" i="69" s="1"/>
  <c r="CJ5" i="69"/>
  <c r="CU5" i="69" s="1"/>
  <c r="CK5" i="69"/>
  <c r="CV5" i="69" s="1"/>
  <c r="CN5" i="69"/>
  <c r="CY5" i="69" s="1"/>
  <c r="CE4" i="69"/>
  <c r="CP5" i="69"/>
  <c r="DA5" i="69" s="1"/>
  <c r="CQ5" i="69"/>
  <c r="DB5" i="69" s="1"/>
  <c r="CD4" i="68"/>
  <c r="CP8" i="68" s="1"/>
  <c r="CJ5" i="68"/>
  <c r="CU5" i="68" s="1"/>
  <c r="CQ5" i="68"/>
  <c r="DB5" i="68" s="1"/>
  <c r="CK5" i="68"/>
  <c r="CV5" i="68" s="1"/>
  <c r="CH10" i="68"/>
  <c r="CF4" i="68"/>
  <c r="CH7" i="68"/>
  <c r="DD5" i="68"/>
  <c r="CH15" i="68"/>
  <c r="CH8" i="68"/>
  <c r="CH6" i="68"/>
  <c r="CH18" i="68"/>
  <c r="CH14" i="68"/>
  <c r="CH16" i="68"/>
  <c r="CH19" i="68"/>
  <c r="CH13" i="68"/>
  <c r="CH12" i="68"/>
  <c r="CH17" i="68"/>
  <c r="CH20" i="68"/>
  <c r="CH11" i="68"/>
  <c r="CE4" i="68"/>
  <c r="CH9" i="68"/>
  <c r="CL5" i="68"/>
  <c r="CW5" i="68" s="1"/>
  <c r="CO5" i="68"/>
  <c r="CZ5" i="68" s="1"/>
  <c r="CN5" i="68"/>
  <c r="CY5" i="68" s="1"/>
  <c r="CM5" i="68"/>
  <c r="CX5" i="68" s="1"/>
  <c r="CH5" i="68"/>
  <c r="CS5" i="68" s="1"/>
  <c r="CI5" i="68"/>
  <c r="CT5" i="68" s="1"/>
  <c r="DD5" i="69"/>
  <c r="CI5" i="69"/>
  <c r="CT5" i="69" s="1"/>
  <c r="CF4" i="69"/>
  <c r="CH18" i="69"/>
  <c r="CH10" i="69"/>
  <c r="CH12" i="69"/>
  <c r="CH14" i="69"/>
  <c r="FB7" i="69"/>
  <c r="CH13" i="69"/>
  <c r="CM5" i="69"/>
  <c r="CX5" i="69" s="1"/>
  <c r="CL5" i="69"/>
  <c r="CW5" i="69" s="1"/>
  <c r="CH15" i="69"/>
  <c r="CH11" i="69"/>
  <c r="CH9" i="69"/>
  <c r="CH16" i="69"/>
  <c r="CH7" i="69"/>
  <c r="CH20" i="69"/>
  <c r="CH17" i="69"/>
  <c r="AD16" i="34" l="1"/>
  <c r="EK7" i="75"/>
  <c r="EU7" i="75" s="1"/>
  <c r="AQ7" i="75" s="1"/>
  <c r="AR7" i="75" s="1"/>
  <c r="EK9" i="75"/>
  <c r="EU9" i="75" s="1"/>
  <c r="EK5" i="75"/>
  <c r="EU5" i="75" s="1"/>
  <c r="AQ5" i="75" s="1"/>
  <c r="AR5" i="75" s="1"/>
  <c r="EK18" i="75"/>
  <c r="EU18" i="75" s="1"/>
  <c r="EK21" i="75"/>
  <c r="EU21" i="75" s="1"/>
  <c r="EK6" i="75"/>
  <c r="EU6" i="75" s="1"/>
  <c r="AQ6" i="75" s="1"/>
  <c r="AR6" i="75" s="1"/>
  <c r="EK13" i="75"/>
  <c r="EU13" i="75" s="1"/>
  <c r="EK8" i="75"/>
  <c r="EU8" i="75" s="1"/>
  <c r="AQ8" i="75" s="1"/>
  <c r="AR8" i="75" s="1"/>
  <c r="EK14" i="75"/>
  <c r="EU14" i="75" s="1"/>
  <c r="EK15" i="75"/>
  <c r="EU15" i="75" s="1"/>
  <c r="EK17" i="75"/>
  <c r="EU17" i="75" s="1"/>
  <c r="EK10" i="75"/>
  <c r="EU10" i="75" s="1"/>
  <c r="EK8" i="74"/>
  <c r="EU8" i="74" s="1"/>
  <c r="AQ8" i="74" s="1"/>
  <c r="AR8" i="74" s="1"/>
  <c r="AR18" i="74"/>
  <c r="AR7" i="74"/>
  <c r="AR11" i="74"/>
  <c r="AR14" i="74"/>
  <c r="AR17" i="74"/>
  <c r="EL21" i="72"/>
  <c r="EU21" i="72" s="1"/>
  <c r="EK33" i="73"/>
  <c r="EU33" i="73" s="1"/>
  <c r="EK10" i="74"/>
  <c r="EU10" i="74" s="1"/>
  <c r="AQ10" i="74" s="1"/>
  <c r="AR10" i="74" s="1"/>
  <c r="EK26" i="38"/>
  <c r="EU26" i="38" s="1"/>
  <c r="EK13" i="74"/>
  <c r="EU13" i="74" s="1"/>
  <c r="AQ13" i="74" s="1"/>
  <c r="AR13" i="74" s="1"/>
  <c r="EK6" i="74"/>
  <c r="EU6" i="74" s="1"/>
  <c r="AQ6" i="74" s="1"/>
  <c r="AR6" i="74" s="1"/>
  <c r="EK14" i="72"/>
  <c r="EU14" i="72" s="1"/>
  <c r="EK30" i="73"/>
  <c r="EU30" i="73" s="1"/>
  <c r="EU5" i="73"/>
  <c r="AQ5" i="73" s="1"/>
  <c r="EK24" i="73"/>
  <c r="EU24" i="73" s="1"/>
  <c r="EK21" i="74"/>
  <c r="EU21" i="74" s="1"/>
  <c r="AQ21" i="74" s="1"/>
  <c r="AR21" i="74" s="1"/>
  <c r="EK16" i="74"/>
  <c r="EU16" i="74" s="1"/>
  <c r="AQ16" i="74" s="1"/>
  <c r="AR16" i="74" s="1"/>
  <c r="EK19" i="74"/>
  <c r="EU19" i="74" s="1"/>
  <c r="AQ19" i="74" s="1"/>
  <c r="AR19" i="74" s="1"/>
  <c r="EK15" i="74"/>
  <c r="EU15" i="74" s="1"/>
  <c r="AQ15" i="74" s="1"/>
  <c r="AR15" i="74" s="1"/>
  <c r="AR9" i="74"/>
  <c r="EK20" i="74"/>
  <c r="EU20" i="74" s="1"/>
  <c r="AQ20" i="74" s="1"/>
  <c r="AR20" i="74" s="1"/>
  <c r="EK12" i="74"/>
  <c r="EU12" i="74" s="1"/>
  <c r="AQ12" i="74" s="1"/>
  <c r="AR12" i="74" s="1"/>
  <c r="AR11" i="38"/>
  <c r="EK24" i="38"/>
  <c r="EU24" i="38" s="1"/>
  <c r="AR5" i="38"/>
  <c r="EK21" i="38"/>
  <c r="EU21" i="38" s="1"/>
  <c r="EK29" i="38"/>
  <c r="EU29" i="38" s="1"/>
  <c r="EK10" i="38"/>
  <c r="EU10" i="38" s="1"/>
  <c r="AQ10" i="38" s="1"/>
  <c r="AR10" i="38" s="1"/>
  <c r="EK32" i="38"/>
  <c r="EU32" i="38" s="1"/>
  <c r="EK30" i="38"/>
  <c r="EU30" i="38" s="1"/>
  <c r="EK33" i="38"/>
  <c r="EU33" i="38" s="1"/>
  <c r="EK25" i="38"/>
  <c r="EU25" i="38" s="1"/>
  <c r="EK34" i="38"/>
  <c r="EU34" i="38" s="1"/>
  <c r="EK6" i="38"/>
  <c r="EU6" i="38" s="1"/>
  <c r="AQ6" i="38" s="1"/>
  <c r="AR6" i="38" s="1"/>
  <c r="EK16" i="38"/>
  <c r="EU16" i="38" s="1"/>
  <c r="EK17" i="38"/>
  <c r="EU17" i="38" s="1"/>
  <c r="EK18" i="38"/>
  <c r="EU18" i="38" s="1"/>
  <c r="EK15" i="73"/>
  <c r="EU15" i="73" s="1"/>
  <c r="EK19" i="73"/>
  <c r="EU19" i="73" s="1"/>
  <c r="EK16" i="73"/>
  <c r="EU16" i="73" s="1"/>
  <c r="EK26" i="73"/>
  <c r="EU26" i="73" s="1"/>
  <c r="EK23" i="73"/>
  <c r="EU23" i="73" s="1"/>
  <c r="EK28" i="73"/>
  <c r="EU28" i="73" s="1"/>
  <c r="EK32" i="73"/>
  <c r="EU32" i="73" s="1"/>
  <c r="EK21" i="73"/>
  <c r="EU21" i="73" s="1"/>
  <c r="EJ5" i="73"/>
  <c r="AO5" i="73" s="1"/>
  <c r="AP5" i="73" s="1"/>
  <c r="EK13" i="73"/>
  <c r="EU13" i="73" s="1"/>
  <c r="EK14" i="73"/>
  <c r="EU14" i="73" s="1"/>
  <c r="EK31" i="73"/>
  <c r="EU31" i="73" s="1"/>
  <c r="EL22" i="72"/>
  <c r="EU22" i="72" s="1"/>
  <c r="EL18" i="72"/>
  <c r="EU18" i="72" s="1"/>
  <c r="EL23" i="72"/>
  <c r="EU23" i="72" s="1"/>
  <c r="EL6" i="72"/>
  <c r="EU6" i="72" s="1"/>
  <c r="EL17" i="72"/>
  <c r="EU17" i="72" s="1"/>
  <c r="EJ5" i="72"/>
  <c r="AO5" i="72" s="1"/>
  <c r="EU5" i="72"/>
  <c r="AQ5" i="72" s="1"/>
  <c r="CS6" i="69"/>
  <c r="DC6" i="69" s="1"/>
  <c r="CM14" i="68"/>
  <c r="CJ8" i="69"/>
  <c r="CO14" i="68"/>
  <c r="CP16" i="69"/>
  <c r="CM19" i="69"/>
  <c r="CO19" i="68"/>
  <c r="CL14" i="69"/>
  <c r="CK19" i="68"/>
  <c r="CI7" i="68"/>
  <c r="CN7" i="68"/>
  <c r="CJ11" i="68"/>
  <c r="CO6" i="68"/>
  <c r="CZ6" i="68" s="1"/>
  <c r="CQ18" i="68"/>
  <c r="CQ9" i="68"/>
  <c r="CJ7" i="69"/>
  <c r="CQ14" i="69"/>
  <c r="CL9" i="69"/>
  <c r="CJ12" i="69"/>
  <c r="CI8" i="68"/>
  <c r="CI19" i="69"/>
  <c r="CI8" i="69"/>
  <c r="CK15" i="69"/>
  <c r="CL16" i="69"/>
  <c r="CM18" i="69"/>
  <c r="CI12" i="69"/>
  <c r="CQ15" i="69"/>
  <c r="CM16" i="68"/>
  <c r="CM20" i="68"/>
  <c r="CK8" i="68"/>
  <c r="CN13" i="68"/>
  <c r="CK19" i="69"/>
  <c r="CN12" i="69"/>
  <c r="CM8" i="69"/>
  <c r="CJ20" i="69"/>
  <c r="CO20" i="68"/>
  <c r="CP19" i="68"/>
  <c r="CL12" i="68"/>
  <c r="CP9" i="68"/>
  <c r="CJ8" i="68"/>
  <c r="CP7" i="69"/>
  <c r="CP19" i="69"/>
  <c r="CK17" i="69"/>
  <c r="CN19" i="69"/>
  <c r="CI14" i="69"/>
  <c r="CQ7" i="68"/>
  <c r="CM7" i="68"/>
  <c r="CN17" i="68"/>
  <c r="CM13" i="68"/>
  <c r="CM15" i="68"/>
  <c r="CJ14" i="68"/>
  <c r="CO8" i="68"/>
  <c r="CP12" i="69"/>
  <c r="CI13" i="69"/>
  <c r="CK20" i="69"/>
  <c r="CN6" i="69"/>
  <c r="CY6" i="69" s="1"/>
  <c r="CJ6" i="69"/>
  <c r="CU6" i="69" s="1"/>
  <c r="CO16" i="69"/>
  <c r="CP20" i="69"/>
  <c r="CQ9" i="69"/>
  <c r="CP13" i="69"/>
  <c r="CK18" i="69"/>
  <c r="CN7" i="69"/>
  <c r="CY7" i="69" s="1"/>
  <c r="CQ12" i="68"/>
  <c r="CJ16" i="68"/>
  <c r="CK12" i="69"/>
  <c r="CP20" i="68"/>
  <c r="CL16" i="68"/>
  <c r="CI13" i="68"/>
  <c r="CN17" i="69"/>
  <c r="CO7" i="69"/>
  <c r="CZ7" i="69" s="1"/>
  <c r="CP18" i="68"/>
  <c r="CO11" i="68"/>
  <c r="CI18" i="68"/>
  <c r="CN14" i="69"/>
  <c r="CP15" i="69"/>
  <c r="CI15" i="69"/>
  <c r="CK6" i="69"/>
  <c r="CV6" i="69" s="1"/>
  <c r="CK9" i="69"/>
  <c r="CI18" i="69"/>
  <c r="CK12" i="68"/>
  <c r="CJ13" i="68"/>
  <c r="CL7" i="69"/>
  <c r="CL12" i="69"/>
  <c r="CO13" i="69"/>
  <c r="CQ10" i="69"/>
  <c r="CN16" i="69"/>
  <c r="CJ18" i="69"/>
  <c r="CL20" i="68"/>
  <c r="CQ15" i="68"/>
  <c r="CO6" i="69"/>
  <c r="CZ6" i="69" s="1"/>
  <c r="CM18" i="68"/>
  <c r="CL18" i="69"/>
  <c r="CM11" i="69"/>
  <c r="CM12" i="69"/>
  <c r="CN8" i="69"/>
  <c r="CJ19" i="69"/>
  <c r="CM6" i="68"/>
  <c r="CX6" i="68" s="1"/>
  <c r="CM10" i="68"/>
  <c r="CP14" i="68"/>
  <c r="CM19" i="68"/>
  <c r="CJ10" i="68"/>
  <c r="CJ6" i="68"/>
  <c r="CU6" i="68" s="1"/>
  <c r="CJ9" i="68"/>
  <c r="CN13" i="69"/>
  <c r="CN10" i="69"/>
  <c r="CP17" i="69"/>
  <c r="CP17" i="68"/>
  <c r="CO12" i="69"/>
  <c r="CJ11" i="69"/>
  <c r="CQ19" i="69"/>
  <c r="CN12" i="68"/>
  <c r="CP10" i="69"/>
  <c r="CN19" i="68"/>
  <c r="CJ18" i="68"/>
  <c r="CQ18" i="69"/>
  <c r="CI17" i="69"/>
  <c r="DI13" i="69"/>
  <c r="CK9" i="68"/>
  <c r="CQ17" i="68"/>
  <c r="DK18" i="68"/>
  <c r="CQ13" i="68"/>
  <c r="CM14" i="69"/>
  <c r="CK16" i="69"/>
  <c r="CO17" i="69"/>
  <c r="CK13" i="69"/>
  <c r="CN20" i="69"/>
  <c r="CI6" i="69"/>
  <c r="CT6" i="69" s="1"/>
  <c r="CK10" i="68"/>
  <c r="CN6" i="68"/>
  <c r="CY6" i="68" s="1"/>
  <c r="CP7" i="68"/>
  <c r="CQ14" i="68"/>
  <c r="CK16" i="68"/>
  <c r="CJ17" i="68"/>
  <c r="CQ11" i="69"/>
  <c r="CK20" i="68"/>
  <c r="CM13" i="69"/>
  <c r="CO8" i="69"/>
  <c r="CN15" i="68"/>
  <c r="CJ15" i="69"/>
  <c r="CP8" i="69"/>
  <c r="CN18" i="69"/>
  <c r="CL11" i="69"/>
  <c r="CL13" i="69"/>
  <c r="CQ13" i="69"/>
  <c r="CM10" i="69"/>
  <c r="CN15" i="69"/>
  <c r="CO19" i="69"/>
  <c r="DE5" i="69"/>
  <c r="DO5" i="69" s="1"/>
  <c r="CM16" i="69"/>
  <c r="CI9" i="69"/>
  <c r="CO9" i="68"/>
  <c r="CQ10" i="68"/>
  <c r="DI20" i="68"/>
  <c r="CI20" i="68"/>
  <c r="CK7" i="69"/>
  <c r="CK11" i="69"/>
  <c r="CM11" i="68"/>
  <c r="CO18" i="68"/>
  <c r="CI17" i="68"/>
  <c r="CN11" i="69"/>
  <c r="CL10" i="69"/>
  <c r="CI10" i="69"/>
  <c r="CN16" i="68"/>
  <c r="CL6" i="68"/>
  <c r="CW6" i="68" s="1"/>
  <c r="CQ6" i="68"/>
  <c r="DB6" i="68" s="1"/>
  <c r="CN9" i="69"/>
  <c r="CO20" i="69"/>
  <c r="CL8" i="69"/>
  <c r="CL18" i="68"/>
  <c r="CJ17" i="69"/>
  <c r="CP9" i="69"/>
  <c r="CL13" i="68"/>
  <c r="CP18" i="69"/>
  <c r="CM20" i="69"/>
  <c r="CL17" i="69"/>
  <c r="CJ9" i="69"/>
  <c r="CI20" i="69"/>
  <c r="CN8" i="68"/>
  <c r="CM12" i="68"/>
  <c r="CM17" i="68"/>
  <c r="CJ20" i="68"/>
  <c r="CO13" i="68"/>
  <c r="CI9" i="68"/>
  <c r="DF19" i="68"/>
  <c r="DK7" i="68"/>
  <c r="DG14" i="68"/>
  <c r="DK17" i="68"/>
  <c r="DJ16" i="68"/>
  <c r="DH16" i="68"/>
  <c r="DI6" i="68"/>
  <c r="DF14" i="69"/>
  <c r="CL10" i="68"/>
  <c r="DF5" i="68"/>
  <c r="DP5" i="68" s="1"/>
  <c r="EA5" i="68" s="1"/>
  <c r="CL19" i="68"/>
  <c r="CL7" i="68"/>
  <c r="CP16" i="68"/>
  <c r="CI14" i="68"/>
  <c r="CK17" i="68"/>
  <c r="DJ5" i="68"/>
  <c r="DT5" i="68" s="1"/>
  <c r="CO10" i="68"/>
  <c r="CL8" i="68"/>
  <c r="CJ16" i="69"/>
  <c r="CJ10" i="69"/>
  <c r="DE6" i="68"/>
  <c r="CO7" i="68"/>
  <c r="CO12" i="68"/>
  <c r="CI12" i="68"/>
  <c r="CN10" i="68"/>
  <c r="CQ17" i="69"/>
  <c r="CI7" i="69"/>
  <c r="CI16" i="69"/>
  <c r="CM7" i="69"/>
  <c r="DF17" i="68"/>
  <c r="DF11" i="68"/>
  <c r="DN18" i="69"/>
  <c r="DJ6" i="68"/>
  <c r="DE12" i="68"/>
  <c r="DL20" i="68"/>
  <c r="DG17" i="68"/>
  <c r="CO15" i="68"/>
  <c r="CI15" i="68"/>
  <c r="DI16" i="68"/>
  <c r="DL18" i="68"/>
  <c r="CI11" i="68"/>
  <c r="CN18" i="68"/>
  <c r="DL15" i="68"/>
  <c r="DF6" i="68"/>
  <c r="CJ7" i="68"/>
  <c r="CP6" i="68"/>
  <c r="DA6" i="68" s="1"/>
  <c r="CL9" i="68"/>
  <c r="CO14" i="69"/>
  <c r="CQ8" i="69"/>
  <c r="CM15" i="69"/>
  <c r="CL19" i="69"/>
  <c r="CM17" i="69"/>
  <c r="CI11" i="69"/>
  <c r="CM9" i="69"/>
  <c r="CL17" i="68"/>
  <c r="CO16" i="68"/>
  <c r="CK14" i="68"/>
  <c r="DE7" i="68"/>
  <c r="DJ7" i="68"/>
  <c r="CQ16" i="68"/>
  <c r="CO18" i="69"/>
  <c r="CK15" i="68"/>
  <c r="CK18" i="68"/>
  <c r="CN9" i="68"/>
  <c r="DJ14" i="68"/>
  <c r="DE8" i="68"/>
  <c r="DJ9" i="68"/>
  <c r="CL11" i="68"/>
  <c r="CK7" i="68"/>
  <c r="CP10" i="68"/>
  <c r="CP15" i="68"/>
  <c r="CJ12" i="68"/>
  <c r="CK6" i="68"/>
  <c r="CV6" i="68" s="1"/>
  <c r="CP14" i="69"/>
  <c r="DL11" i="68"/>
  <c r="DM7" i="69"/>
  <c r="DF15" i="68"/>
  <c r="CN20" i="68"/>
  <c r="CK13" i="68"/>
  <c r="CO15" i="69"/>
  <c r="DI5" i="69"/>
  <c r="DS5" i="69" s="1"/>
  <c r="ED5" i="69" s="1"/>
  <c r="EO5" i="69" s="1"/>
  <c r="DH5" i="69"/>
  <c r="DR5" i="69" s="1"/>
  <c r="EC5" i="69" s="1"/>
  <c r="EN5" i="69" s="1"/>
  <c r="CQ12" i="69"/>
  <c r="CQ20" i="69"/>
  <c r="DL5" i="69"/>
  <c r="DV5" i="69" s="1"/>
  <c r="EG5" i="69" s="1"/>
  <c r="ER5" i="69" s="1"/>
  <c r="DK5" i="69"/>
  <c r="DU5" i="69" s="1"/>
  <c r="EF5" i="69" s="1"/>
  <c r="EQ5" i="69" s="1"/>
  <c r="DJ5" i="69"/>
  <c r="DT5" i="69" s="1"/>
  <c r="EE5" i="69" s="1"/>
  <c r="EP5" i="69" s="1"/>
  <c r="DF5" i="69"/>
  <c r="DP5" i="69" s="1"/>
  <c r="EA5" i="69" s="1"/>
  <c r="EL5" i="69" s="1"/>
  <c r="CL15" i="69"/>
  <c r="CJ14" i="69"/>
  <c r="CM9" i="68"/>
  <c r="CQ7" i="69"/>
  <c r="CQ16" i="69"/>
  <c r="CO10" i="69"/>
  <c r="CK8" i="69"/>
  <c r="CP11" i="69"/>
  <c r="CL6" i="69"/>
  <c r="CW6" i="69" s="1"/>
  <c r="CK10" i="69"/>
  <c r="CM6" i="69"/>
  <c r="CX6" i="69" s="1"/>
  <c r="CK14" i="69"/>
  <c r="CO9" i="69"/>
  <c r="DL7" i="69"/>
  <c r="CJ13" i="69"/>
  <c r="CL14" i="68"/>
  <c r="CQ20" i="68"/>
  <c r="CM8" i="68"/>
  <c r="DG19" i="68"/>
  <c r="DF9" i="68"/>
  <c r="DI12" i="68"/>
  <c r="CK11" i="68"/>
  <c r="CQ11" i="68"/>
  <c r="CP12" i="68"/>
  <c r="CI19" i="68"/>
  <c r="CI10" i="68"/>
  <c r="CQ6" i="69"/>
  <c r="DB6" i="69" s="1"/>
  <c r="CO11" i="69"/>
  <c r="CL20" i="69"/>
  <c r="DG5" i="69"/>
  <c r="EX5" i="69" s="1"/>
  <c r="EZ5" i="69" s="1"/>
  <c r="DL13" i="69"/>
  <c r="DG16" i="68"/>
  <c r="DF14" i="68"/>
  <c r="DE20" i="68"/>
  <c r="DK10" i="68"/>
  <c r="DG19" i="69"/>
  <c r="DK11" i="68"/>
  <c r="DH8" i="68"/>
  <c r="DE14" i="68"/>
  <c r="DJ17" i="68"/>
  <c r="CN14" i="68"/>
  <c r="CQ19" i="68"/>
  <c r="CQ8" i="68"/>
  <c r="CI6" i="68"/>
  <c r="CT6" i="68" s="1"/>
  <c r="CJ15" i="68"/>
  <c r="DK20" i="68"/>
  <c r="DG12" i="68"/>
  <c r="DJ12" i="68"/>
  <c r="DE15" i="68"/>
  <c r="DH18" i="68"/>
  <c r="CN11" i="68"/>
  <c r="CO17" i="68"/>
  <c r="CP11" i="68"/>
  <c r="DA11" i="68" s="1"/>
  <c r="CL15" i="68"/>
  <c r="CJ19" i="68"/>
  <c r="CI16" i="68"/>
  <c r="CP13" i="68"/>
  <c r="DC5" i="68"/>
  <c r="AM5" i="68" s="1"/>
  <c r="CR9" i="68"/>
  <c r="DN15" i="68"/>
  <c r="DM15" i="68"/>
  <c r="DM11" i="68"/>
  <c r="DM14" i="68"/>
  <c r="DN17" i="68"/>
  <c r="DN11" i="68"/>
  <c r="DN19" i="68"/>
  <c r="DM17" i="68"/>
  <c r="DM19" i="68"/>
  <c r="DN12" i="68"/>
  <c r="DM12" i="68"/>
  <c r="DN18" i="68"/>
  <c r="DN7" i="68"/>
  <c r="DN14" i="68"/>
  <c r="DM18" i="68"/>
  <c r="DM7" i="68"/>
  <c r="DN6" i="68"/>
  <c r="DM6" i="68"/>
  <c r="DM16" i="68"/>
  <c r="DM13" i="68"/>
  <c r="DN5" i="68"/>
  <c r="DX5" i="68" s="1"/>
  <c r="DM5" i="68"/>
  <c r="DW5" i="68" s="1"/>
  <c r="DN10" i="68"/>
  <c r="DN9" i="68"/>
  <c r="DM10" i="68"/>
  <c r="DM9" i="68"/>
  <c r="DJ15" i="68"/>
  <c r="DN16" i="68"/>
  <c r="DL9" i="68"/>
  <c r="DE11" i="68"/>
  <c r="DK9" i="68"/>
  <c r="DE9" i="68"/>
  <c r="DL6" i="68"/>
  <c r="DH17" i="68"/>
  <c r="DN13" i="68"/>
  <c r="DK6" i="68"/>
  <c r="DI10" i="68"/>
  <c r="DH10" i="68"/>
  <c r="DN8" i="68"/>
  <c r="DN20" i="68"/>
  <c r="DM8" i="68"/>
  <c r="DF10" i="68"/>
  <c r="DE10" i="68"/>
  <c r="DM20" i="68"/>
  <c r="DL8" i="68"/>
  <c r="CS6" i="68"/>
  <c r="CR6" i="68"/>
  <c r="DJ13" i="68"/>
  <c r="DJ10" i="68"/>
  <c r="DK14" i="68"/>
  <c r="CR11" i="68"/>
  <c r="DG15" i="68"/>
  <c r="DF12" i="68"/>
  <c r="DL12" i="68"/>
  <c r="DI7" i="68"/>
  <c r="CR15" i="68"/>
  <c r="DI19" i="68"/>
  <c r="DE17" i="68"/>
  <c r="DI18" i="68"/>
  <c r="DK8" i="68"/>
  <c r="CR20" i="68"/>
  <c r="DJ20" i="68"/>
  <c r="DJ18" i="68"/>
  <c r="DI5" i="68"/>
  <c r="DS5" i="68" s="1"/>
  <c r="DG10" i="68"/>
  <c r="DE5" i="68"/>
  <c r="DO5" i="68" s="1"/>
  <c r="DH19" i="68"/>
  <c r="DL19" i="68"/>
  <c r="DH7" i="68"/>
  <c r="DI13" i="68"/>
  <c r="CS17" i="68"/>
  <c r="CR17" i="68"/>
  <c r="DH14" i="68"/>
  <c r="DF20" i="68"/>
  <c r="DH6" i="68"/>
  <c r="DL17" i="68"/>
  <c r="DK12" i="68"/>
  <c r="DK5" i="68"/>
  <c r="DU5" i="68" s="1"/>
  <c r="DG6" i="68"/>
  <c r="DG7" i="68"/>
  <c r="DH12" i="68"/>
  <c r="DI17" i="68"/>
  <c r="CR13" i="68"/>
  <c r="CR14" i="68"/>
  <c r="CR18" i="68"/>
  <c r="CR10" i="68"/>
  <c r="DL5" i="68"/>
  <c r="DV5" i="68" s="1"/>
  <c r="DF13" i="68"/>
  <c r="DI11" i="68"/>
  <c r="DF18" i="68"/>
  <c r="CR8" i="68"/>
  <c r="DK15" i="68"/>
  <c r="DJ11" i="68"/>
  <c r="DL7" i="68"/>
  <c r="DG13" i="68"/>
  <c r="DG20" i="68"/>
  <c r="DG11" i="68"/>
  <c r="DH13" i="68"/>
  <c r="DK19" i="68"/>
  <c r="CR19" i="68"/>
  <c r="DE13" i="68"/>
  <c r="DH5" i="68"/>
  <c r="DR5" i="68" s="1"/>
  <c r="CR5" i="68"/>
  <c r="AS5" i="68" s="1"/>
  <c r="DI8" i="68"/>
  <c r="DG5" i="68"/>
  <c r="DI9" i="68"/>
  <c r="DK16" i="68"/>
  <c r="DH11" i="68"/>
  <c r="DK13" i="68"/>
  <c r="DJ8" i="68"/>
  <c r="DF7" i="68"/>
  <c r="DG8" i="68"/>
  <c r="DL14" i="68"/>
  <c r="DG18" i="68"/>
  <c r="CR12" i="68"/>
  <c r="DE16" i="68"/>
  <c r="DI14" i="68"/>
  <c r="DH15" i="68"/>
  <c r="DL13" i="68"/>
  <c r="DF8" i="68"/>
  <c r="DH9" i="68"/>
  <c r="DF16" i="68"/>
  <c r="DE19" i="68"/>
  <c r="CR16" i="68"/>
  <c r="DE18" i="68"/>
  <c r="DJ19" i="68"/>
  <c r="DI15" i="68"/>
  <c r="DG9" i="68"/>
  <c r="DL10" i="68"/>
  <c r="DH20" i="68"/>
  <c r="DL16" i="68"/>
  <c r="CR7" i="68"/>
  <c r="CR16" i="69"/>
  <c r="DK17" i="69"/>
  <c r="DE14" i="69"/>
  <c r="DE12" i="69"/>
  <c r="DH9" i="69"/>
  <c r="DG8" i="69"/>
  <c r="DH17" i="69"/>
  <c r="DN16" i="69"/>
  <c r="DG9" i="69"/>
  <c r="DF8" i="69"/>
  <c r="DG17" i="69"/>
  <c r="DM16" i="69"/>
  <c r="DF9" i="69"/>
  <c r="DE8" i="69"/>
  <c r="DN6" i="69"/>
  <c r="DE17" i="69"/>
  <c r="DJ16" i="69"/>
  <c r="DE9" i="69"/>
  <c r="DM6" i="69"/>
  <c r="DW6" i="69" s="1"/>
  <c r="DN5" i="69"/>
  <c r="DX5" i="69" s="1"/>
  <c r="DN7" i="69"/>
  <c r="DL6" i="69"/>
  <c r="DH7" i="69"/>
  <c r="DK15" i="69"/>
  <c r="DI16" i="69"/>
  <c r="DM5" i="69"/>
  <c r="DW5" i="69" s="1"/>
  <c r="DG16" i="69"/>
  <c r="DL15" i="69"/>
  <c r="DK6" i="69"/>
  <c r="DF16" i="69"/>
  <c r="DN20" i="69"/>
  <c r="DE15" i="69"/>
  <c r="DK14" i="69"/>
  <c r="DN12" i="69"/>
  <c r="DM9" i="69"/>
  <c r="DJ14" i="69"/>
  <c r="DL20" i="69"/>
  <c r="DK20" i="69"/>
  <c r="DK12" i="69"/>
  <c r="DJ6" i="69"/>
  <c r="DM20" i="69"/>
  <c r="DE16" i="69"/>
  <c r="DM12" i="69"/>
  <c r="DG7" i="69"/>
  <c r="DL12" i="69"/>
  <c r="DE7" i="69"/>
  <c r="DN10" i="69"/>
  <c r="DM10" i="69"/>
  <c r="DI6" i="69"/>
  <c r="DH6" i="69"/>
  <c r="DI11" i="69"/>
  <c r="DI15" i="69"/>
  <c r="DH15" i="69"/>
  <c r="CR9" i="69"/>
  <c r="DN13" i="69"/>
  <c r="DM18" i="69"/>
  <c r="DE10" i="69"/>
  <c r="CR11" i="69"/>
  <c r="CR13" i="69"/>
  <c r="DI10" i="69"/>
  <c r="DL11" i="69"/>
  <c r="DK18" i="69"/>
  <c r="DI17" i="69"/>
  <c r="CR10" i="69"/>
  <c r="DI19" i="69"/>
  <c r="DG14" i="69"/>
  <c r="DI9" i="69"/>
  <c r="DF20" i="69"/>
  <c r="DM13" i="69"/>
  <c r="DF7" i="69"/>
  <c r="DH12" i="69"/>
  <c r="DN9" i="69"/>
  <c r="DF10" i="69"/>
  <c r="DL8" i="69"/>
  <c r="DE11" i="69"/>
  <c r="DM11" i="69"/>
  <c r="DJ11" i="69"/>
  <c r="DG11" i="69"/>
  <c r="DM15" i="69"/>
  <c r="DI18" i="69"/>
  <c r="DJ13" i="69"/>
  <c r="DL9" i="69"/>
  <c r="DN11" i="69"/>
  <c r="DK13" i="69"/>
  <c r="DL14" i="69"/>
  <c r="DL16" i="69"/>
  <c r="DJ20" i="69"/>
  <c r="DK10" i="69"/>
  <c r="DK7" i="69"/>
  <c r="DJ8" i="69"/>
  <c r="DH16" i="69"/>
  <c r="DH18" i="69"/>
  <c r="DC5" i="69"/>
  <c r="AM5" i="69" s="1"/>
  <c r="CR5" i="69"/>
  <c r="AS5" i="69" s="1"/>
  <c r="DK9" i="69"/>
  <c r="DL18" i="69"/>
  <c r="DK11" i="69"/>
  <c r="DF17" i="69"/>
  <c r="DF19" i="69"/>
  <c r="DL17" i="69"/>
  <c r="DE13" i="69"/>
  <c r="DE20" i="69"/>
  <c r="CR20" i="69"/>
  <c r="DI20" i="69"/>
  <c r="DM8" i="69"/>
  <c r="DE18" i="69"/>
  <c r="DF11" i="69"/>
  <c r="DK8" i="69"/>
  <c r="DN8" i="69"/>
  <c r="DF12" i="69"/>
  <c r="DG15" i="69"/>
  <c r="DK16" i="69"/>
  <c r="DM14" i="69"/>
  <c r="CR15" i="69"/>
  <c r="DI12" i="69"/>
  <c r="DH14" i="69"/>
  <c r="DM17" i="69"/>
  <c r="DG13" i="69"/>
  <c r="DG18" i="69"/>
  <c r="CR14" i="69"/>
  <c r="DN14" i="69"/>
  <c r="DF18" i="69"/>
  <c r="DE19" i="69"/>
  <c r="DH11" i="69"/>
  <c r="DG12" i="69"/>
  <c r="DN17" i="69"/>
  <c r="DG6" i="69"/>
  <c r="DJ7" i="69"/>
  <c r="CR12" i="69"/>
  <c r="DI8" i="69"/>
  <c r="DH8" i="69"/>
  <c r="DL10" i="69"/>
  <c r="DH13" i="69"/>
  <c r="DH10" i="69"/>
  <c r="CR17" i="69"/>
  <c r="DJ10" i="69"/>
  <c r="DL19" i="69"/>
  <c r="DF13" i="69"/>
  <c r="DE6" i="69"/>
  <c r="DJ9" i="69"/>
  <c r="DN15" i="69"/>
  <c r="DF15" i="69"/>
  <c r="DJ15" i="69"/>
  <c r="DJ17" i="69"/>
  <c r="DK19" i="69"/>
  <c r="DG20" i="69"/>
  <c r="DJ18" i="69"/>
  <c r="CR18" i="69"/>
  <c r="DH19" i="69"/>
  <c r="DM19" i="69"/>
  <c r="DI7" i="69"/>
  <c r="CR7" i="69"/>
  <c r="DI14" i="69"/>
  <c r="DJ19" i="69"/>
  <c r="DH20" i="69"/>
  <c r="DN19" i="69"/>
  <c r="DF6" i="69"/>
  <c r="DJ12" i="69"/>
  <c r="DG10" i="69"/>
  <c r="DU6" i="69" l="1"/>
  <c r="DO6" i="69"/>
  <c r="AR5" i="73"/>
  <c r="AP5" i="72"/>
  <c r="DV6" i="68"/>
  <c r="DQ6" i="68"/>
  <c r="EB6" i="68" s="1"/>
  <c r="EM6" i="68" s="1"/>
  <c r="DQ5" i="69"/>
  <c r="EB5" i="69" s="1"/>
  <c r="EM5" i="69" s="1"/>
  <c r="DP6" i="69"/>
  <c r="EA6" i="69" s="1"/>
  <c r="EL6" i="69" s="1"/>
  <c r="DX6" i="69"/>
  <c r="EI6" i="69" s="1"/>
  <c r="ET6" i="69" s="1"/>
  <c r="DT6" i="69"/>
  <c r="EE6" i="69" s="1"/>
  <c r="EP6" i="69" s="1"/>
  <c r="DV7" i="69"/>
  <c r="EG7" i="69" s="1"/>
  <c r="ER7" i="69" s="1"/>
  <c r="DR6" i="69"/>
  <c r="EC6" i="69" s="1"/>
  <c r="EN6" i="69" s="1"/>
  <c r="DS6" i="68"/>
  <c r="ED6" i="68" s="1"/>
  <c r="EO6" i="68" s="1"/>
  <c r="DU6" i="68"/>
  <c r="EF6" i="68" s="1"/>
  <c r="EQ6" i="68" s="1"/>
  <c r="DX6" i="68"/>
  <c r="EI6" i="68" s="1"/>
  <c r="ET6" i="68" s="1"/>
  <c r="DT6" i="68"/>
  <c r="EE6" i="68" s="1"/>
  <c r="EP6" i="68" s="1"/>
  <c r="DQ6" i="69"/>
  <c r="EB6" i="69" s="1"/>
  <c r="EM6" i="69" s="1"/>
  <c r="DR6" i="68"/>
  <c r="EC6" i="68" s="1"/>
  <c r="EN6" i="68" s="1"/>
  <c r="DP6" i="68"/>
  <c r="EA6" i="68" s="1"/>
  <c r="EL6" i="68" s="1"/>
  <c r="DV6" i="69"/>
  <c r="EG6" i="69" s="1"/>
  <c r="ER6" i="69" s="1"/>
  <c r="DS6" i="69"/>
  <c r="ED6" i="69" s="1"/>
  <c r="EO6" i="69" s="1"/>
  <c r="FA5" i="69"/>
  <c r="FB5" i="69" s="1"/>
  <c r="DW6" i="68"/>
  <c r="EH6" i="68" s="1"/>
  <c r="ES6" i="68" s="1"/>
  <c r="CS13" i="68"/>
  <c r="DO13" i="68" s="1"/>
  <c r="CU13" i="69"/>
  <c r="DQ13" i="69" s="1"/>
  <c r="EB13" i="69" s="1"/>
  <c r="EM13" i="69" s="1"/>
  <c r="CV12" i="68"/>
  <c r="DR12" i="68" s="1"/>
  <c r="EC12" i="68" s="1"/>
  <c r="EN12" i="68" s="1"/>
  <c r="CS9" i="69"/>
  <c r="DC9" i="69" s="1"/>
  <c r="CV16" i="68"/>
  <c r="DR16" i="68" s="1"/>
  <c r="EC16" i="68" s="1"/>
  <c r="EN16" i="68" s="1"/>
  <c r="CS15" i="69"/>
  <c r="DC15" i="69" s="1"/>
  <c r="CV18" i="69"/>
  <c r="DR18" i="69" s="1"/>
  <c r="EC18" i="69" s="1"/>
  <c r="EN18" i="69" s="1"/>
  <c r="CT19" i="68"/>
  <c r="DP19" i="68" s="1"/>
  <c r="EA19" i="68" s="1"/>
  <c r="EL19" i="68" s="1"/>
  <c r="CX15" i="69"/>
  <c r="DT15" i="69" s="1"/>
  <c r="EE15" i="69" s="1"/>
  <c r="EP15" i="69" s="1"/>
  <c r="CW8" i="69"/>
  <c r="DS8" i="69" s="1"/>
  <c r="ED8" i="69" s="1"/>
  <c r="EO8" i="69" s="1"/>
  <c r="DB13" i="68"/>
  <c r="DX13" i="68" s="1"/>
  <c r="EI13" i="68" s="1"/>
  <c r="ET13" i="68" s="1"/>
  <c r="DB11" i="69"/>
  <c r="DX11" i="69" s="1"/>
  <c r="EI11" i="69" s="1"/>
  <c r="ET11" i="69" s="1"/>
  <c r="DU7" i="69"/>
  <c r="EF7" i="69" s="1"/>
  <c r="CT14" i="68"/>
  <c r="DP14" i="68" s="1"/>
  <c r="EA14" i="68" s="1"/>
  <c r="EL14" i="68" s="1"/>
  <c r="CZ20" i="68"/>
  <c r="DV20" i="68" s="1"/>
  <c r="EG20" i="68" s="1"/>
  <c r="ER20" i="68" s="1"/>
  <c r="CT16" i="69"/>
  <c r="DP16" i="69" s="1"/>
  <c r="EA16" i="69" s="1"/>
  <c r="EL16" i="69" s="1"/>
  <c r="CU10" i="68"/>
  <c r="DQ10" i="68" s="1"/>
  <c r="EB10" i="68" s="1"/>
  <c r="EM10" i="68" s="1"/>
  <c r="CY18" i="69"/>
  <c r="DU18" i="69" s="1"/>
  <c r="EF18" i="69" s="1"/>
  <c r="EQ18" i="69" s="1"/>
  <c r="CW20" i="69"/>
  <c r="DS20" i="69" s="1"/>
  <c r="ED20" i="69" s="1"/>
  <c r="EO20" i="69" s="1"/>
  <c r="CW7" i="68"/>
  <c r="DS7" i="68" s="1"/>
  <c r="ED7" i="68" s="1"/>
  <c r="EO7" i="68" s="1"/>
  <c r="CT20" i="68"/>
  <c r="DP20" i="68" s="1"/>
  <c r="EA20" i="68" s="1"/>
  <c r="DA11" i="69"/>
  <c r="DW11" i="69" s="1"/>
  <c r="EH11" i="69" s="1"/>
  <c r="ES11" i="69" s="1"/>
  <c r="CV10" i="69"/>
  <c r="DR10" i="69" s="1"/>
  <c r="EC10" i="69" s="1"/>
  <c r="EN10" i="69" s="1"/>
  <c r="CT11" i="68"/>
  <c r="DP11" i="68" s="1"/>
  <c r="EA11" i="68" s="1"/>
  <c r="EL11" i="68" s="1"/>
  <c r="DB14" i="68"/>
  <c r="DX14" i="68" s="1"/>
  <c r="EI14" i="68" s="1"/>
  <c r="ET14" i="68" s="1"/>
  <c r="CU12" i="68"/>
  <c r="DQ12" i="68" s="1"/>
  <c r="EB12" i="68" s="1"/>
  <c r="EM12" i="68" s="1"/>
  <c r="CX10" i="68"/>
  <c r="DT10" i="68" s="1"/>
  <c r="EE10" i="68" s="1"/>
  <c r="CT18" i="69"/>
  <c r="DP18" i="69" s="1"/>
  <c r="EA18" i="69" s="1"/>
  <c r="EL18" i="69" s="1"/>
  <c r="DA10" i="68"/>
  <c r="DW10" i="68" s="1"/>
  <c r="EH10" i="68" s="1"/>
  <c r="ES10" i="68" s="1"/>
  <c r="CU9" i="69"/>
  <c r="DQ9" i="69" s="1"/>
  <c r="EB9" i="69" s="1"/>
  <c r="EM9" i="69" s="1"/>
  <c r="CY19" i="68"/>
  <c r="DU19" i="68" s="1"/>
  <c r="EF19" i="68" s="1"/>
  <c r="EQ19" i="68" s="1"/>
  <c r="DA9" i="69"/>
  <c r="DW9" i="69" s="1"/>
  <c r="EH9" i="69" s="1"/>
  <c r="CV17" i="69"/>
  <c r="DR17" i="69" s="1"/>
  <c r="EC17" i="69" s="1"/>
  <c r="EN17" i="69" s="1"/>
  <c r="CW17" i="69"/>
  <c r="DS17" i="69" s="1"/>
  <c r="ED17" i="69" s="1"/>
  <c r="EO17" i="69" s="1"/>
  <c r="DB15" i="69"/>
  <c r="DX15" i="69" s="1"/>
  <c r="EI15" i="69" s="1"/>
  <c r="ET15" i="69" s="1"/>
  <c r="CZ18" i="68"/>
  <c r="DV18" i="68" s="1"/>
  <c r="EG18" i="68" s="1"/>
  <c r="ER18" i="68" s="1"/>
  <c r="CZ12" i="68"/>
  <c r="DV12" i="68" s="1"/>
  <c r="EG12" i="68" s="1"/>
  <c r="CY10" i="69"/>
  <c r="DU10" i="69" s="1"/>
  <c r="EF10" i="69" s="1"/>
  <c r="EQ10" i="69" s="1"/>
  <c r="CX17" i="68"/>
  <c r="DT17" i="68" s="1"/>
  <c r="EE17" i="68" s="1"/>
  <c r="EP17" i="68" s="1"/>
  <c r="CZ14" i="68"/>
  <c r="DV14" i="68" s="1"/>
  <c r="EG14" i="68" s="1"/>
  <c r="ER14" i="68" s="1"/>
  <c r="CV19" i="68"/>
  <c r="DR19" i="68" s="1"/>
  <c r="EC19" i="68" s="1"/>
  <c r="EN19" i="68" s="1"/>
  <c r="CY16" i="69"/>
  <c r="DU16" i="69" s="1"/>
  <c r="EF16" i="69" s="1"/>
  <c r="EQ16" i="69" s="1"/>
  <c r="CY15" i="69"/>
  <c r="DU15" i="69" s="1"/>
  <c r="EF15" i="69" s="1"/>
  <c r="EQ15" i="69" s="1"/>
  <c r="CW19" i="69"/>
  <c r="DS19" i="69" s="1"/>
  <c r="ED19" i="69" s="1"/>
  <c r="EO19" i="69" s="1"/>
  <c r="CW9" i="69"/>
  <c r="DS9" i="69" s="1"/>
  <c r="CY17" i="68"/>
  <c r="DU17" i="68" s="1"/>
  <c r="EF17" i="68" s="1"/>
  <c r="CZ16" i="68"/>
  <c r="DV16" i="68" s="1"/>
  <c r="EG16" i="68" s="1"/>
  <c r="ER16" i="68" s="1"/>
  <c r="CV20" i="68"/>
  <c r="DR20" i="68" s="1"/>
  <c r="EC20" i="68" s="1"/>
  <c r="EN20" i="68" s="1"/>
  <c r="CZ16" i="69"/>
  <c r="DV16" i="69" s="1"/>
  <c r="EG16" i="69" s="1"/>
  <c r="ER16" i="69" s="1"/>
  <c r="CX16" i="68"/>
  <c r="DT16" i="68" s="1"/>
  <c r="EE16" i="68" s="1"/>
  <c r="EP16" i="68" s="1"/>
  <c r="CY20" i="69"/>
  <c r="DU20" i="69" s="1"/>
  <c r="EF20" i="69" s="1"/>
  <c r="EQ20" i="69" s="1"/>
  <c r="CV14" i="69"/>
  <c r="DR14" i="69" s="1"/>
  <c r="EC14" i="69" s="1"/>
  <c r="EN14" i="69" s="1"/>
  <c r="DA12" i="68"/>
  <c r="DW12" i="68" s="1"/>
  <c r="CW13" i="69"/>
  <c r="DS13" i="69" s="1"/>
  <c r="ED13" i="69" s="1"/>
  <c r="EO13" i="69" s="1"/>
  <c r="DA15" i="68"/>
  <c r="DW15" i="68" s="1"/>
  <c r="EH15" i="68" s="1"/>
  <c r="ES15" i="68" s="1"/>
  <c r="CV11" i="68"/>
  <c r="DR11" i="68" s="1"/>
  <c r="EC11" i="68" s="1"/>
  <c r="CX12" i="68"/>
  <c r="DT12" i="68" s="1"/>
  <c r="EE12" i="68" s="1"/>
  <c r="EP12" i="68" s="1"/>
  <c r="CY14" i="68"/>
  <c r="DU14" i="68" s="1"/>
  <c r="EF14" i="68" s="1"/>
  <c r="EQ14" i="68" s="1"/>
  <c r="DB20" i="68"/>
  <c r="DX20" i="68" s="1"/>
  <c r="EI20" i="68" s="1"/>
  <c r="CS18" i="69"/>
  <c r="DO18" i="69" s="1"/>
  <c r="CX11" i="68"/>
  <c r="DT11" i="68" s="1"/>
  <c r="EE11" i="68" s="1"/>
  <c r="EP11" i="68" s="1"/>
  <c r="DA9" i="68"/>
  <c r="DW9" i="68" s="1"/>
  <c r="EH9" i="68" s="1"/>
  <c r="ES9" i="68" s="1"/>
  <c r="CZ13" i="68"/>
  <c r="DV13" i="68" s="1"/>
  <c r="EG13" i="68" s="1"/>
  <c r="ER13" i="68" s="1"/>
  <c r="CS16" i="68"/>
  <c r="DO16" i="68" s="1"/>
  <c r="CW9" i="68"/>
  <c r="DS9" i="68" s="1"/>
  <c r="ED9" i="68" s="1"/>
  <c r="EO9" i="68" s="1"/>
  <c r="DB17" i="68"/>
  <c r="DX17" i="68" s="1"/>
  <c r="EI17" i="68" s="1"/>
  <c r="ET17" i="68" s="1"/>
  <c r="CV8" i="68"/>
  <c r="DR8" i="68" s="1"/>
  <c r="CY7" i="68"/>
  <c r="DU7" i="68" s="1"/>
  <c r="EF7" i="68" s="1"/>
  <c r="EQ7" i="68" s="1"/>
  <c r="DA20" i="68"/>
  <c r="DW20" i="68" s="1"/>
  <c r="EH20" i="68" s="1"/>
  <c r="CU8" i="68"/>
  <c r="DQ8" i="68" s="1"/>
  <c r="CS18" i="68"/>
  <c r="DO18" i="68" s="1"/>
  <c r="CV11" i="69"/>
  <c r="DR11" i="69" s="1"/>
  <c r="EC11" i="69" s="1"/>
  <c r="EN11" i="69" s="1"/>
  <c r="DB7" i="69"/>
  <c r="DX7" i="69" s="1"/>
  <c r="EI7" i="69" s="1"/>
  <c r="ET7" i="69" s="1"/>
  <c r="DA7" i="68"/>
  <c r="DW7" i="68" s="1"/>
  <c r="DA19" i="68"/>
  <c r="DW19" i="68" s="1"/>
  <c r="EH19" i="68" s="1"/>
  <c r="ES19" i="68" s="1"/>
  <c r="CZ19" i="68"/>
  <c r="DV19" i="68" s="1"/>
  <c r="EG19" i="68" s="1"/>
  <c r="ER19" i="68" s="1"/>
  <c r="CT17" i="69"/>
  <c r="DP17" i="69" s="1"/>
  <c r="EA17" i="69" s="1"/>
  <c r="EL17" i="69" s="1"/>
  <c r="CU17" i="69"/>
  <c r="DQ17" i="69" s="1"/>
  <c r="CV10" i="68"/>
  <c r="DR10" i="68" s="1"/>
  <c r="EC10" i="68" s="1"/>
  <c r="CS11" i="69"/>
  <c r="DO11" i="69" s="1"/>
  <c r="DB12" i="68"/>
  <c r="DX12" i="68" s="1"/>
  <c r="EI12" i="68" s="1"/>
  <c r="ET12" i="68" s="1"/>
  <c r="CY10" i="68"/>
  <c r="DU10" i="68" s="1"/>
  <c r="EF10" i="68" s="1"/>
  <c r="EQ10" i="68" s="1"/>
  <c r="CV20" i="69"/>
  <c r="DR20" i="69" s="1"/>
  <c r="EC20" i="69" s="1"/>
  <c r="EN20" i="69" s="1"/>
  <c r="CS11" i="68"/>
  <c r="DO11" i="68" s="1"/>
  <c r="CU11" i="69"/>
  <c r="DQ11" i="69" s="1"/>
  <c r="EB11" i="69" s="1"/>
  <c r="EM11" i="69" s="1"/>
  <c r="DB10" i="69"/>
  <c r="DX10" i="69" s="1"/>
  <c r="EI10" i="69" s="1"/>
  <c r="ET10" i="69" s="1"/>
  <c r="CT17" i="68"/>
  <c r="DP17" i="68" s="1"/>
  <c r="EA17" i="68" s="1"/>
  <c r="EL17" i="68" s="1"/>
  <c r="CX12" i="69"/>
  <c r="DT12" i="69" s="1"/>
  <c r="EE12" i="69" s="1"/>
  <c r="EP12" i="69" s="1"/>
  <c r="CU20" i="68"/>
  <c r="DQ20" i="68" s="1"/>
  <c r="CS14" i="68"/>
  <c r="DO14" i="68" s="1"/>
  <c r="CX20" i="68"/>
  <c r="DT20" i="68" s="1"/>
  <c r="EE20" i="68" s="1"/>
  <c r="EP20" i="68" s="1"/>
  <c r="DA16" i="69"/>
  <c r="DW16" i="69" s="1"/>
  <c r="EH16" i="69" s="1"/>
  <c r="ES16" i="69" s="1"/>
  <c r="DB15" i="68"/>
  <c r="DX15" i="68" s="1"/>
  <c r="EI15" i="68" s="1"/>
  <c r="ET15" i="68" s="1"/>
  <c r="DB8" i="69"/>
  <c r="DX8" i="69" s="1"/>
  <c r="EI8" i="69" s="1"/>
  <c r="ET8" i="69" s="1"/>
  <c r="DA7" i="69"/>
  <c r="DW7" i="69" s="1"/>
  <c r="EH7" i="69" s="1"/>
  <c r="ES7" i="69" s="1"/>
  <c r="CX7" i="68"/>
  <c r="DT7" i="68" s="1"/>
  <c r="EE7" i="68" s="1"/>
  <c r="EP7" i="68" s="1"/>
  <c r="CU14" i="69"/>
  <c r="DQ14" i="69" s="1"/>
  <c r="EB14" i="69" s="1"/>
  <c r="EM14" i="69" s="1"/>
  <c r="CX19" i="68"/>
  <c r="DT19" i="68" s="1"/>
  <c r="EE19" i="68" s="1"/>
  <c r="EP19" i="68" s="1"/>
  <c r="DB18" i="69"/>
  <c r="DX18" i="69" s="1"/>
  <c r="EI18" i="69" s="1"/>
  <c r="ET18" i="69" s="1"/>
  <c r="CU19" i="69"/>
  <c r="DQ19" i="69" s="1"/>
  <c r="EB19" i="69" s="1"/>
  <c r="CW8" i="68"/>
  <c r="DS8" i="68" s="1"/>
  <c r="ED8" i="68" s="1"/>
  <c r="CU17" i="68"/>
  <c r="DQ17" i="68" s="1"/>
  <c r="EB17" i="68" s="1"/>
  <c r="EM17" i="68" s="1"/>
  <c r="CS15" i="68"/>
  <c r="DC15" i="68" s="1"/>
  <c r="DA16" i="68"/>
  <c r="DW16" i="68" s="1"/>
  <c r="EH16" i="68" s="1"/>
  <c r="ES16" i="68" s="1"/>
  <c r="CT10" i="69"/>
  <c r="DP10" i="69" s="1"/>
  <c r="EA10" i="69" s="1"/>
  <c r="CS19" i="68"/>
  <c r="DO19" i="68" s="1"/>
  <c r="CY9" i="68"/>
  <c r="DU9" i="68" s="1"/>
  <c r="EF9" i="68" s="1"/>
  <c r="EQ9" i="68" s="1"/>
  <c r="CX10" i="69"/>
  <c r="DT10" i="69" s="1"/>
  <c r="EE10" i="69" s="1"/>
  <c r="EP10" i="69" s="1"/>
  <c r="CS16" i="69"/>
  <c r="DO16" i="69" s="1"/>
  <c r="CS10" i="68"/>
  <c r="DC10" i="68" s="1"/>
  <c r="CW20" i="68"/>
  <c r="DS20" i="68" s="1"/>
  <c r="ED20" i="68" s="1"/>
  <c r="EO20" i="68" s="1"/>
  <c r="CW18" i="68"/>
  <c r="DS18" i="68" s="1"/>
  <c r="ED18" i="68" s="1"/>
  <c r="EO18" i="68" s="1"/>
  <c r="CX15" i="68"/>
  <c r="DT15" i="68" s="1"/>
  <c r="EE15" i="68" s="1"/>
  <c r="EP15" i="68" s="1"/>
  <c r="CZ10" i="69"/>
  <c r="DV10" i="69" s="1"/>
  <c r="EG10" i="69" s="1"/>
  <c r="ER10" i="69" s="1"/>
  <c r="CX14" i="68"/>
  <c r="DT14" i="68" s="1"/>
  <c r="EE14" i="68" s="1"/>
  <c r="EP14" i="68" s="1"/>
  <c r="CV9" i="68"/>
  <c r="DR9" i="68" s="1"/>
  <c r="EC9" i="68" s="1"/>
  <c r="EN9" i="68" s="1"/>
  <c r="CW13" i="68"/>
  <c r="DS13" i="68" s="1"/>
  <c r="ED13" i="68" s="1"/>
  <c r="EO13" i="68" s="1"/>
  <c r="CY19" i="69"/>
  <c r="DU19" i="69" s="1"/>
  <c r="EF19" i="69" s="1"/>
  <c r="EQ19" i="69" s="1"/>
  <c r="DB10" i="68"/>
  <c r="DX10" i="68" s="1"/>
  <c r="EI10" i="68" s="1"/>
  <c r="ET10" i="68" s="1"/>
  <c r="DB14" i="69"/>
  <c r="DX14" i="69" s="1"/>
  <c r="EI14" i="69" s="1"/>
  <c r="CT12" i="68"/>
  <c r="DP12" i="68" s="1"/>
  <c r="EA12" i="68" s="1"/>
  <c r="EL12" i="68" s="1"/>
  <c r="CZ18" i="69"/>
  <c r="DV18" i="69" s="1"/>
  <c r="EG18" i="69" s="1"/>
  <c r="CU8" i="69"/>
  <c r="DQ8" i="69" s="1"/>
  <c r="EB8" i="69" s="1"/>
  <c r="EM8" i="69" s="1"/>
  <c r="CY17" i="69"/>
  <c r="DU17" i="69" s="1"/>
  <c r="EF17" i="69" s="1"/>
  <c r="EQ17" i="69" s="1"/>
  <c r="CX9" i="68"/>
  <c r="DT9" i="68" s="1"/>
  <c r="EE9" i="68" s="1"/>
  <c r="EP9" i="68" s="1"/>
  <c r="CY8" i="68"/>
  <c r="DU8" i="68" s="1"/>
  <c r="EF8" i="68" s="1"/>
  <c r="EQ8" i="68" s="1"/>
  <c r="CW15" i="68"/>
  <c r="DS15" i="68" s="1"/>
  <c r="ED15" i="68" s="1"/>
  <c r="CS7" i="68"/>
  <c r="DC7" i="68" s="1"/>
  <c r="CS19" i="69"/>
  <c r="DC19" i="69" s="1"/>
  <c r="CU10" i="69"/>
  <c r="DQ10" i="69" s="1"/>
  <c r="EB10" i="69" s="1"/>
  <c r="EM10" i="69" s="1"/>
  <c r="CY12" i="69"/>
  <c r="DU12" i="69" s="1"/>
  <c r="CV19" i="69"/>
  <c r="DR19" i="69" s="1"/>
  <c r="EC19" i="69" s="1"/>
  <c r="CZ17" i="68"/>
  <c r="DV17" i="68" s="1"/>
  <c r="EG17" i="68" s="1"/>
  <c r="ER17" i="68" s="1"/>
  <c r="DA14" i="68"/>
  <c r="DW14" i="68" s="1"/>
  <c r="EH14" i="68" s="1"/>
  <c r="ES14" i="68" s="1"/>
  <c r="CU12" i="69"/>
  <c r="DQ12" i="69" s="1"/>
  <c r="EB12" i="69" s="1"/>
  <c r="EM12" i="69" s="1"/>
  <c r="CT11" i="69"/>
  <c r="DP11" i="69" s="1"/>
  <c r="EA11" i="69" s="1"/>
  <c r="EL11" i="69" s="1"/>
  <c r="DB16" i="68"/>
  <c r="DX16" i="68" s="1"/>
  <c r="CX16" i="69"/>
  <c r="DT16" i="69" s="1"/>
  <c r="EE16" i="69" s="1"/>
  <c r="EP16" i="69" s="1"/>
  <c r="CS12" i="69"/>
  <c r="DO12" i="69" s="1"/>
  <c r="CS20" i="68"/>
  <c r="DC20" i="68" s="1"/>
  <c r="CY16" i="68"/>
  <c r="DU16" i="68" s="1"/>
  <c r="EF16" i="68" s="1"/>
  <c r="EQ16" i="68" s="1"/>
  <c r="DA19" i="69"/>
  <c r="DW19" i="69" s="1"/>
  <c r="EH19" i="69" s="1"/>
  <c r="DA18" i="68"/>
  <c r="DW18" i="68" s="1"/>
  <c r="EH18" i="68" s="1"/>
  <c r="ES18" i="68" s="1"/>
  <c r="CV13" i="68"/>
  <c r="DR13" i="68" s="1"/>
  <c r="EC13" i="68" s="1"/>
  <c r="EN13" i="68" s="1"/>
  <c r="CW10" i="69"/>
  <c r="DS10" i="69" s="1"/>
  <c r="ED10" i="69" s="1"/>
  <c r="EO10" i="69" s="1"/>
  <c r="CZ9" i="68"/>
  <c r="DV9" i="68" s="1"/>
  <c r="EG9" i="68" s="1"/>
  <c r="CX9" i="69"/>
  <c r="DT9" i="69" s="1"/>
  <c r="EE9" i="69" s="1"/>
  <c r="EP9" i="69" s="1"/>
  <c r="CV13" i="69"/>
  <c r="DR13" i="69" s="1"/>
  <c r="EC13" i="69" s="1"/>
  <c r="EN13" i="69" s="1"/>
  <c r="DB18" i="68"/>
  <c r="DX18" i="68" s="1"/>
  <c r="EI18" i="68" s="1"/>
  <c r="ET18" i="68" s="1"/>
  <c r="CZ19" i="69"/>
  <c r="DV19" i="69" s="1"/>
  <c r="EG19" i="69" s="1"/>
  <c r="ER19" i="69" s="1"/>
  <c r="CZ13" i="69"/>
  <c r="DV13" i="69" s="1"/>
  <c r="EG13" i="69" s="1"/>
  <c r="ER13" i="69" s="1"/>
  <c r="DA17" i="68"/>
  <c r="DW17" i="68" s="1"/>
  <c r="EH17" i="68" s="1"/>
  <c r="ES17" i="68" s="1"/>
  <c r="DB19" i="68"/>
  <c r="DX19" i="68" s="1"/>
  <c r="EI19" i="68" s="1"/>
  <c r="ET19" i="68" s="1"/>
  <c r="CV17" i="68"/>
  <c r="DR17" i="68" s="1"/>
  <c r="EC17" i="68" s="1"/>
  <c r="CV7" i="68"/>
  <c r="DR7" i="68" s="1"/>
  <c r="CT9" i="69"/>
  <c r="DP9" i="69" s="1"/>
  <c r="EA9" i="69" s="1"/>
  <c r="EL9" i="69" s="1"/>
  <c r="CZ9" i="69"/>
  <c r="DV9" i="69" s="1"/>
  <c r="EG9" i="69" s="1"/>
  <c r="ER9" i="69" s="1"/>
  <c r="CS8" i="68"/>
  <c r="DC8" i="68" s="1"/>
  <c r="CU20" i="69"/>
  <c r="DQ20" i="69" s="1"/>
  <c r="EB20" i="69" s="1"/>
  <c r="EM20" i="69" s="1"/>
  <c r="DA13" i="69"/>
  <c r="DW13" i="69" s="1"/>
  <c r="EH13" i="69" s="1"/>
  <c r="ES13" i="69" s="1"/>
  <c r="DB11" i="68"/>
  <c r="DX11" i="68" s="1"/>
  <c r="EI11" i="68" s="1"/>
  <c r="ET11" i="68" s="1"/>
  <c r="CT14" i="69"/>
  <c r="DP14" i="69" s="1"/>
  <c r="EA14" i="69" s="1"/>
  <c r="EL14" i="69" s="1"/>
  <c r="CT18" i="68"/>
  <c r="DP18" i="68" s="1"/>
  <c r="EA18" i="68" s="1"/>
  <c r="EL18" i="68" s="1"/>
  <c r="CV9" i="69"/>
  <c r="DR9" i="69" s="1"/>
  <c r="EC9" i="69" s="1"/>
  <c r="EN9" i="69" s="1"/>
  <c r="CX17" i="69"/>
  <c r="DT17" i="69" s="1"/>
  <c r="EE17" i="69" s="1"/>
  <c r="EP17" i="69" s="1"/>
  <c r="CU16" i="68"/>
  <c r="DQ16" i="68" s="1"/>
  <c r="EB16" i="68" s="1"/>
  <c r="CT20" i="69"/>
  <c r="DP20" i="69" s="1"/>
  <c r="EA20" i="69" s="1"/>
  <c r="EL20" i="69" s="1"/>
  <c r="DA13" i="68"/>
  <c r="DW13" i="68" s="1"/>
  <c r="EH13" i="68" s="1"/>
  <c r="ES13" i="68" s="1"/>
  <c r="CS14" i="69"/>
  <c r="DO14" i="69" s="1"/>
  <c r="CS20" i="69"/>
  <c r="DC20" i="69" s="1"/>
  <c r="CS13" i="69"/>
  <c r="DC13" i="69" s="1"/>
  <c r="DA17" i="69"/>
  <c r="DW17" i="69" s="1"/>
  <c r="EH17" i="69" s="1"/>
  <c r="CX8" i="68"/>
  <c r="DT8" i="68" s="1"/>
  <c r="CU7" i="68"/>
  <c r="DQ7" i="68" s="1"/>
  <c r="EB7" i="68" s="1"/>
  <c r="EM7" i="68" s="1"/>
  <c r="DA8" i="69"/>
  <c r="DW8" i="69" s="1"/>
  <c r="EH8" i="69" s="1"/>
  <c r="DB19" i="69"/>
  <c r="DX19" i="69" s="1"/>
  <c r="EI19" i="69" s="1"/>
  <c r="ET19" i="69" s="1"/>
  <c r="CV8" i="69"/>
  <c r="DR8" i="69" s="1"/>
  <c r="EC8" i="69" s="1"/>
  <c r="EN8" i="69" s="1"/>
  <c r="CW19" i="68"/>
  <c r="DS19" i="68" s="1"/>
  <c r="ED19" i="68" s="1"/>
  <c r="EO19" i="68" s="1"/>
  <c r="CY8" i="69"/>
  <c r="DU8" i="69" s="1"/>
  <c r="EF8" i="69" s="1"/>
  <c r="EQ8" i="69" s="1"/>
  <c r="CT13" i="68"/>
  <c r="DP13" i="68" s="1"/>
  <c r="EA13" i="68" s="1"/>
  <c r="EL13" i="68" s="1"/>
  <c r="DW11" i="68"/>
  <c r="EH11" i="68" s="1"/>
  <c r="ES11" i="68" s="1"/>
  <c r="DA20" i="69"/>
  <c r="DW20" i="69" s="1"/>
  <c r="EH20" i="69" s="1"/>
  <c r="ES20" i="69" s="1"/>
  <c r="CU15" i="69"/>
  <c r="DQ15" i="69" s="1"/>
  <c r="EB15" i="69" s="1"/>
  <c r="EM15" i="69" s="1"/>
  <c r="DB20" i="69"/>
  <c r="DX20" i="69" s="1"/>
  <c r="EI20" i="69" s="1"/>
  <c r="ET20" i="69" s="1"/>
  <c r="CV7" i="69"/>
  <c r="DR7" i="69" s="1"/>
  <c r="EC7" i="69" s="1"/>
  <c r="EN7" i="69" s="1"/>
  <c r="CX13" i="69"/>
  <c r="DT13" i="69" s="1"/>
  <c r="EE13" i="69" s="1"/>
  <c r="EP13" i="69" s="1"/>
  <c r="DA15" i="69"/>
  <c r="DW15" i="69" s="1"/>
  <c r="EH15" i="69" s="1"/>
  <c r="ES15" i="69" s="1"/>
  <c r="CT9" i="68"/>
  <c r="DP9" i="68" s="1"/>
  <c r="EA9" i="68" s="1"/>
  <c r="EL9" i="68" s="1"/>
  <c r="CT15" i="69"/>
  <c r="DP15" i="69" s="1"/>
  <c r="EA15" i="69" s="1"/>
  <c r="EL15" i="69" s="1"/>
  <c r="CT7" i="69"/>
  <c r="DP7" i="69" s="1"/>
  <c r="EA7" i="69" s="1"/>
  <c r="EL7" i="69" s="1"/>
  <c r="DA8" i="68"/>
  <c r="DW8" i="68" s="1"/>
  <c r="EH8" i="68" s="1"/>
  <c r="ES8" i="68" s="1"/>
  <c r="CZ12" i="69"/>
  <c r="DV12" i="69" s="1"/>
  <c r="EG12" i="69" s="1"/>
  <c r="DB9" i="69"/>
  <c r="DX9" i="69" s="1"/>
  <c r="EI9" i="69" s="1"/>
  <c r="ET9" i="69" s="1"/>
  <c r="CX7" i="69"/>
  <c r="DT7" i="69" s="1"/>
  <c r="EE7" i="69" s="1"/>
  <c r="EP7" i="69" s="1"/>
  <c r="CZ14" i="69"/>
  <c r="DV14" i="69" s="1"/>
  <c r="EG14" i="69" s="1"/>
  <c r="ER14" i="69" s="1"/>
  <c r="DA12" i="69"/>
  <c r="DW12" i="69" s="1"/>
  <c r="CY14" i="69"/>
  <c r="DU14" i="69" s="1"/>
  <c r="EF14" i="69" s="1"/>
  <c r="DB12" i="69"/>
  <c r="DX12" i="69" s="1"/>
  <c r="EI12" i="69" s="1"/>
  <c r="ET12" i="69" s="1"/>
  <c r="CX18" i="68"/>
  <c r="DT18" i="68" s="1"/>
  <c r="EE18" i="68" s="1"/>
  <c r="CT13" i="69"/>
  <c r="DP13" i="69" s="1"/>
  <c r="EA13" i="69" s="1"/>
  <c r="EL13" i="69" s="1"/>
  <c r="CU7" i="69"/>
  <c r="DQ7" i="69" s="1"/>
  <c r="EB7" i="69" s="1"/>
  <c r="EM7" i="69" s="1"/>
  <c r="CV15" i="69"/>
  <c r="DR15" i="69" s="1"/>
  <c r="DA14" i="69"/>
  <c r="DW14" i="69" s="1"/>
  <c r="CZ15" i="69"/>
  <c r="DV15" i="69" s="1"/>
  <c r="EG15" i="69" s="1"/>
  <c r="ER15" i="69" s="1"/>
  <c r="CZ17" i="69"/>
  <c r="DV17" i="69" s="1"/>
  <c r="EG17" i="69" s="1"/>
  <c r="ER17" i="69" s="1"/>
  <c r="CW11" i="69"/>
  <c r="DS11" i="69" s="1"/>
  <c r="CV16" i="69"/>
  <c r="DR16" i="69" s="1"/>
  <c r="EC16" i="69" s="1"/>
  <c r="EN16" i="69" s="1"/>
  <c r="DB17" i="69"/>
  <c r="DX17" i="69" s="1"/>
  <c r="EI17" i="69" s="1"/>
  <c r="ET17" i="69" s="1"/>
  <c r="CY11" i="69"/>
  <c r="DU11" i="69" s="1"/>
  <c r="EF11" i="69" s="1"/>
  <c r="EQ11" i="69" s="1"/>
  <c r="CW7" i="69"/>
  <c r="DS7" i="69" s="1"/>
  <c r="ED7" i="69" s="1"/>
  <c r="EO7" i="69" s="1"/>
  <c r="CX14" i="69"/>
  <c r="DT14" i="69" s="1"/>
  <c r="CU16" i="69"/>
  <c r="DQ16" i="69" s="1"/>
  <c r="CU9" i="68"/>
  <c r="DQ9" i="68" s="1"/>
  <c r="EB9" i="68" s="1"/>
  <c r="EM9" i="68" s="1"/>
  <c r="CW14" i="69"/>
  <c r="DS14" i="69" s="1"/>
  <c r="ED14" i="69" s="1"/>
  <c r="EO14" i="69" s="1"/>
  <c r="CY13" i="69"/>
  <c r="DU13" i="69" s="1"/>
  <c r="EF13" i="69" s="1"/>
  <c r="EQ13" i="69" s="1"/>
  <c r="CW12" i="69"/>
  <c r="DS12" i="69" s="1"/>
  <c r="ED12" i="69" s="1"/>
  <c r="EO12" i="69" s="1"/>
  <c r="CW15" i="69"/>
  <c r="DS15" i="69" s="1"/>
  <c r="ED15" i="69" s="1"/>
  <c r="EO15" i="69" s="1"/>
  <c r="CT19" i="69"/>
  <c r="DP19" i="69" s="1"/>
  <c r="EA19" i="69" s="1"/>
  <c r="EL19" i="69" s="1"/>
  <c r="CZ20" i="69"/>
  <c r="DV20" i="69" s="1"/>
  <c r="EG20" i="69" s="1"/>
  <c r="ER20" i="69" s="1"/>
  <c r="CZ11" i="69"/>
  <c r="DV11" i="69" s="1"/>
  <c r="EG11" i="69" s="1"/>
  <c r="ER11" i="69" s="1"/>
  <c r="CZ8" i="68"/>
  <c r="DV8" i="68" s="1"/>
  <c r="EG8" i="68" s="1"/>
  <c r="CW18" i="69"/>
  <c r="DS18" i="69" s="1"/>
  <c r="ED18" i="69" s="1"/>
  <c r="EO18" i="69" s="1"/>
  <c r="DA10" i="69"/>
  <c r="DW10" i="69" s="1"/>
  <c r="EH10" i="69" s="1"/>
  <c r="ES10" i="69" s="1"/>
  <c r="DB9" i="68"/>
  <c r="DX9" i="68" s="1"/>
  <c r="EI9" i="68" s="1"/>
  <c r="ET9" i="68" s="1"/>
  <c r="CU19" i="68"/>
  <c r="DQ19" i="68" s="1"/>
  <c r="EB19" i="68" s="1"/>
  <c r="EM19" i="68" s="1"/>
  <c r="CW16" i="69"/>
  <c r="DS16" i="69" s="1"/>
  <c r="ED16" i="69" s="1"/>
  <c r="EO16" i="69" s="1"/>
  <c r="CT12" i="69"/>
  <c r="DP12" i="69" s="1"/>
  <c r="EA12" i="69" s="1"/>
  <c r="EL12" i="69" s="1"/>
  <c r="CV15" i="68"/>
  <c r="DR15" i="68" s="1"/>
  <c r="EC15" i="68" s="1"/>
  <c r="CY13" i="68"/>
  <c r="DU13" i="68" s="1"/>
  <c r="EF13" i="68" s="1"/>
  <c r="EQ13" i="68" s="1"/>
  <c r="CX13" i="68"/>
  <c r="DT13" i="68" s="1"/>
  <c r="EE13" i="68" s="1"/>
  <c r="EP13" i="68" s="1"/>
  <c r="CZ15" i="68"/>
  <c r="DV15" i="68" s="1"/>
  <c r="CW17" i="68"/>
  <c r="DS17" i="68" s="1"/>
  <c r="ED17" i="68" s="1"/>
  <c r="EO17" i="68" s="1"/>
  <c r="CT10" i="68"/>
  <c r="DP10" i="68" s="1"/>
  <c r="DB8" i="68"/>
  <c r="DX8" i="68" s="1"/>
  <c r="EI8" i="68" s="1"/>
  <c r="ET8" i="68" s="1"/>
  <c r="CW16" i="68"/>
  <c r="DS16" i="68" s="1"/>
  <c r="ED16" i="68" s="1"/>
  <c r="EO16" i="68" s="1"/>
  <c r="CY12" i="68"/>
  <c r="DU12" i="68" s="1"/>
  <c r="EF12" i="68" s="1"/>
  <c r="EQ12" i="68" s="1"/>
  <c r="CU18" i="69"/>
  <c r="DQ18" i="69" s="1"/>
  <c r="EB18" i="69" s="1"/>
  <c r="EM18" i="69" s="1"/>
  <c r="CX18" i="69"/>
  <c r="DT18" i="69" s="1"/>
  <c r="CT16" i="68"/>
  <c r="DP16" i="68" s="1"/>
  <c r="EA16" i="68" s="1"/>
  <c r="DB7" i="68"/>
  <c r="DX7" i="68" s="1"/>
  <c r="EI7" i="68" s="1"/>
  <c r="ET7" i="68" s="1"/>
  <c r="CZ8" i="69"/>
  <c r="DV8" i="69" s="1"/>
  <c r="EG8" i="69" s="1"/>
  <c r="ER8" i="69" s="1"/>
  <c r="CV18" i="68"/>
  <c r="DR18" i="68" s="1"/>
  <c r="EC18" i="68" s="1"/>
  <c r="EN18" i="68" s="1"/>
  <c r="CU14" i="68"/>
  <c r="DQ14" i="68" s="1"/>
  <c r="EB14" i="68" s="1"/>
  <c r="CY15" i="68"/>
  <c r="DU15" i="68" s="1"/>
  <c r="EF15" i="68" s="1"/>
  <c r="EQ15" i="68" s="1"/>
  <c r="CT15" i="68"/>
  <c r="DP15" i="68" s="1"/>
  <c r="EA15" i="68" s="1"/>
  <c r="CV14" i="68"/>
  <c r="DR14" i="68" s="1"/>
  <c r="EC14" i="68" s="1"/>
  <c r="EN14" i="68" s="1"/>
  <c r="CX11" i="69"/>
  <c r="DT11" i="69" s="1"/>
  <c r="EE11" i="69" s="1"/>
  <c r="EP11" i="69" s="1"/>
  <c r="CU15" i="68"/>
  <c r="DQ15" i="68" s="1"/>
  <c r="EB15" i="68" s="1"/>
  <c r="EM15" i="68" s="1"/>
  <c r="CU11" i="68"/>
  <c r="DQ11" i="68" s="1"/>
  <c r="EB11" i="68" s="1"/>
  <c r="EM11" i="68" s="1"/>
  <c r="CT8" i="68"/>
  <c r="DP8" i="68" s="1"/>
  <c r="CS9" i="68"/>
  <c r="DO9" i="68" s="1"/>
  <c r="CS17" i="69"/>
  <c r="DO17" i="69" s="1"/>
  <c r="CS7" i="69"/>
  <c r="DC7" i="69" s="1"/>
  <c r="CY11" i="68"/>
  <c r="DU11" i="68" s="1"/>
  <c r="EF11" i="68" s="1"/>
  <c r="EQ11" i="68" s="1"/>
  <c r="CY9" i="69"/>
  <c r="DU9" i="69" s="1"/>
  <c r="EF9" i="69" s="1"/>
  <c r="EQ9" i="69" s="1"/>
  <c r="CX19" i="69"/>
  <c r="DT19" i="69" s="1"/>
  <c r="EE19" i="69" s="1"/>
  <c r="EP19" i="69" s="1"/>
  <c r="CZ11" i="68"/>
  <c r="DV11" i="68" s="1"/>
  <c r="EG11" i="68" s="1"/>
  <c r="ER11" i="68" s="1"/>
  <c r="CY18" i="68"/>
  <c r="DU18" i="68" s="1"/>
  <c r="EF18" i="68" s="1"/>
  <c r="EQ18" i="68" s="1"/>
  <c r="CW11" i="68"/>
  <c r="DS11" i="68" s="1"/>
  <c r="ED11" i="68" s="1"/>
  <c r="EO11" i="68" s="1"/>
  <c r="DB13" i="69"/>
  <c r="DX13" i="69" s="1"/>
  <c r="EI13" i="69" s="1"/>
  <c r="ET13" i="69" s="1"/>
  <c r="CT7" i="68"/>
  <c r="DP7" i="68" s="1"/>
  <c r="EA7" i="68" s="1"/>
  <c r="EL7" i="68" s="1"/>
  <c r="CY20" i="68"/>
  <c r="DU20" i="68" s="1"/>
  <c r="EF20" i="68" s="1"/>
  <c r="EQ20" i="68" s="1"/>
  <c r="CZ7" i="68"/>
  <c r="DV7" i="68" s="1"/>
  <c r="EG7" i="68" s="1"/>
  <c r="ER7" i="68" s="1"/>
  <c r="CX8" i="69"/>
  <c r="DT8" i="69" s="1"/>
  <c r="EE8" i="69" s="1"/>
  <c r="EP8" i="69" s="1"/>
  <c r="CS8" i="69"/>
  <c r="DC8" i="69" s="1"/>
  <c r="CU13" i="68"/>
  <c r="DQ13" i="68" s="1"/>
  <c r="EB13" i="68" s="1"/>
  <c r="EM13" i="68" s="1"/>
  <c r="CU18" i="68"/>
  <c r="DQ18" i="68" s="1"/>
  <c r="EB18" i="68" s="1"/>
  <c r="EM18" i="68" s="1"/>
  <c r="CS12" i="68"/>
  <c r="DC12" i="68" s="1"/>
  <c r="CS10" i="69"/>
  <c r="DC10" i="69" s="1"/>
  <c r="CW14" i="68"/>
  <c r="DS14" i="68" s="1"/>
  <c r="ED14" i="68" s="1"/>
  <c r="EO14" i="68" s="1"/>
  <c r="CZ10" i="68"/>
  <c r="DV10" i="68" s="1"/>
  <c r="EG10" i="68" s="1"/>
  <c r="ER10" i="68" s="1"/>
  <c r="CT8" i="69"/>
  <c r="DP8" i="69" s="1"/>
  <c r="EA8" i="69" s="1"/>
  <c r="EL8" i="69" s="1"/>
  <c r="CV12" i="69"/>
  <c r="DR12" i="69" s="1"/>
  <c r="EC12" i="69" s="1"/>
  <c r="DB16" i="69"/>
  <c r="DX16" i="69" s="1"/>
  <c r="EI16" i="69" s="1"/>
  <c r="ET16" i="69" s="1"/>
  <c r="CW10" i="68"/>
  <c r="DS10" i="68" s="1"/>
  <c r="ED10" i="68" s="1"/>
  <c r="EO10" i="68" s="1"/>
  <c r="CX20" i="69"/>
  <c r="DT20" i="69" s="1"/>
  <c r="CW12" i="68"/>
  <c r="DS12" i="68" s="1"/>
  <c r="ED12" i="68" s="1"/>
  <c r="EO12" i="68" s="1"/>
  <c r="DA18" i="69"/>
  <c r="DW18" i="69" s="1"/>
  <c r="EH18" i="69" s="1"/>
  <c r="ES18" i="69" s="1"/>
  <c r="EE5" i="68"/>
  <c r="EP5" i="68" s="1"/>
  <c r="EL5" i="68"/>
  <c r="DQ5" i="68"/>
  <c r="DY5" i="68" s="1"/>
  <c r="EF5" i="68"/>
  <c r="EQ5" i="68" s="1"/>
  <c r="EC5" i="68"/>
  <c r="EN5" i="68" s="1"/>
  <c r="ED5" i="68"/>
  <c r="EO5" i="68" s="1"/>
  <c r="EG6" i="68"/>
  <c r="ER6" i="68" s="1"/>
  <c r="EG5" i="68"/>
  <c r="ER5" i="68" s="1"/>
  <c r="EH5" i="68"/>
  <c r="ES5" i="68" s="1"/>
  <c r="EI5" i="68"/>
  <c r="ET5" i="68" s="1"/>
  <c r="DZ5" i="68"/>
  <c r="DC6" i="68"/>
  <c r="DO6" i="68"/>
  <c r="DO17" i="68"/>
  <c r="DC17" i="68"/>
  <c r="AT5" i="68"/>
  <c r="EF6" i="69"/>
  <c r="EQ6" i="69" s="1"/>
  <c r="EH5" i="69"/>
  <c r="ES5" i="69" s="1"/>
  <c r="DZ6" i="69"/>
  <c r="EJ6" i="69" s="1"/>
  <c r="DY6" i="69"/>
  <c r="EI5" i="69"/>
  <c r="ET5" i="69" s="1"/>
  <c r="DZ5" i="69"/>
  <c r="AT5" i="69"/>
  <c r="EH6" i="69"/>
  <c r="ES6" i="69" s="1"/>
  <c r="AR5" i="72" l="1"/>
  <c r="DY5" i="69"/>
  <c r="DC18" i="68"/>
  <c r="DO15" i="69"/>
  <c r="DZ15" i="69" s="1"/>
  <c r="EJ15" i="69" s="1"/>
  <c r="EB5" i="68"/>
  <c r="EM5" i="68" s="1"/>
  <c r="DO8" i="68"/>
  <c r="DZ8" i="68" s="1"/>
  <c r="EJ8" i="68" s="1"/>
  <c r="DC11" i="69"/>
  <c r="DC13" i="68"/>
  <c r="DO9" i="69"/>
  <c r="DZ9" i="69" s="1"/>
  <c r="EJ9" i="69" s="1"/>
  <c r="EB8" i="68"/>
  <c r="EM8" i="68" s="1"/>
  <c r="DC18" i="69"/>
  <c r="EM16" i="68"/>
  <c r="EL15" i="68"/>
  <c r="EQ7" i="69"/>
  <c r="DO15" i="68"/>
  <c r="DZ15" i="68" s="1"/>
  <c r="EJ15" i="68" s="1"/>
  <c r="EE8" i="68"/>
  <c r="EP8" i="68" s="1"/>
  <c r="EF12" i="69"/>
  <c r="EQ12" i="69" s="1"/>
  <c r="EP10" i="68"/>
  <c r="EN19" i="69"/>
  <c r="EO8" i="68"/>
  <c r="ES20" i="68"/>
  <c r="DC11" i="68"/>
  <c r="ES19" i="69"/>
  <c r="EM19" i="69"/>
  <c r="DO7" i="68"/>
  <c r="DY7" i="68" s="1"/>
  <c r="DO19" i="69"/>
  <c r="DZ19" i="69" s="1"/>
  <c r="EJ19" i="69" s="1"/>
  <c r="EQ17" i="68"/>
  <c r="EC7" i="68"/>
  <c r="EN7" i="68" s="1"/>
  <c r="EI16" i="68"/>
  <c r="ET16" i="68" s="1"/>
  <c r="ED9" i="69"/>
  <c r="EO9" i="69" s="1"/>
  <c r="EB20" i="68"/>
  <c r="EM20" i="68" s="1"/>
  <c r="EH7" i="68"/>
  <c r="ES7" i="68" s="1"/>
  <c r="EB17" i="69"/>
  <c r="EM17" i="69" s="1"/>
  <c r="DC12" i="69"/>
  <c r="DC17" i="69"/>
  <c r="DO13" i="69"/>
  <c r="DY13" i="69" s="1"/>
  <c r="EN10" i="68"/>
  <c r="EL20" i="68"/>
  <c r="DC16" i="68"/>
  <c r="EL10" i="69"/>
  <c r="EG15" i="68"/>
  <c r="ER15" i="68" s="1"/>
  <c r="ET20" i="68"/>
  <c r="EM14" i="68"/>
  <c r="EN17" i="68"/>
  <c r="EH12" i="68"/>
  <c r="ES12" i="68" s="1"/>
  <c r="DO20" i="68"/>
  <c r="DY20" i="68" s="1"/>
  <c r="DC16" i="69"/>
  <c r="ER18" i="69"/>
  <c r="DC14" i="68"/>
  <c r="DC19" i="68"/>
  <c r="DC9" i="68"/>
  <c r="EQ14" i="69"/>
  <c r="ES17" i="69"/>
  <c r="DO8" i="69"/>
  <c r="ES9" i="69"/>
  <c r="DO10" i="68"/>
  <c r="DY10" i="68" s="1"/>
  <c r="DO12" i="68"/>
  <c r="DZ12" i="68" s="1"/>
  <c r="EJ12" i="68" s="1"/>
  <c r="EN11" i="68"/>
  <c r="EC8" i="68"/>
  <c r="EN8" i="68" s="1"/>
  <c r="DO7" i="69"/>
  <c r="DZ7" i="69" s="1"/>
  <c r="EJ7" i="69" s="1"/>
  <c r="EE18" i="69"/>
  <c r="EP18" i="69" s="1"/>
  <c r="ED11" i="69"/>
  <c r="EO11" i="69" s="1"/>
  <c r="EH14" i="69"/>
  <c r="ES14" i="69" s="1"/>
  <c r="EH12" i="69"/>
  <c r="ES12" i="69" s="1"/>
  <c r="EE14" i="69"/>
  <c r="EP14" i="69" s="1"/>
  <c r="EB16" i="69"/>
  <c r="EM16" i="69" s="1"/>
  <c r="EN12" i="69"/>
  <c r="EC15" i="69"/>
  <c r="EN15" i="69" s="1"/>
  <c r="DC14" i="69"/>
  <c r="EA10" i="68"/>
  <c r="EL10" i="68" s="1"/>
  <c r="EE20" i="69"/>
  <c r="EP20" i="69" s="1"/>
  <c r="ES8" i="69"/>
  <c r="ER8" i="68"/>
  <c r="DO20" i="69"/>
  <c r="DZ20" i="69" s="1"/>
  <c r="ER9" i="68"/>
  <c r="EO15" i="68"/>
  <c r="ER12" i="69"/>
  <c r="EL16" i="68"/>
  <c r="EN15" i="68"/>
  <c r="DO10" i="69"/>
  <c r="DZ10" i="69" s="1"/>
  <c r="EJ10" i="69" s="1"/>
  <c r="ER12" i="68"/>
  <c r="EP18" i="68"/>
  <c r="EA8" i="68"/>
  <c r="EL8" i="68" s="1"/>
  <c r="ET14" i="69"/>
  <c r="EK6" i="69"/>
  <c r="EU6" i="69" s="1"/>
  <c r="DZ17" i="68"/>
  <c r="EJ17" i="68" s="1"/>
  <c r="DY17" i="68"/>
  <c r="DZ6" i="68"/>
  <c r="EJ6" i="68" s="1"/>
  <c r="DY6" i="68"/>
  <c r="DZ14" i="68"/>
  <c r="EJ14" i="68" s="1"/>
  <c r="DY14" i="68"/>
  <c r="DZ9" i="68"/>
  <c r="EJ9" i="68" s="1"/>
  <c r="DY9" i="68"/>
  <c r="DZ18" i="68"/>
  <c r="EJ18" i="68" s="1"/>
  <c r="DY18" i="68"/>
  <c r="DY13" i="68"/>
  <c r="DZ13" i="68"/>
  <c r="EJ13" i="68" s="1"/>
  <c r="DZ11" i="68"/>
  <c r="EJ11" i="68" s="1"/>
  <c r="DY11" i="68"/>
  <c r="DY16" i="68"/>
  <c r="DZ16" i="68"/>
  <c r="EJ16" i="68" s="1"/>
  <c r="EK5" i="68"/>
  <c r="DZ19" i="68"/>
  <c r="EJ19" i="68" s="1"/>
  <c r="DY19" i="68"/>
  <c r="EJ5" i="69"/>
  <c r="AO5" i="69" s="1"/>
  <c r="EK5" i="69"/>
  <c r="EU5" i="69" s="1"/>
  <c r="AQ5" i="69" s="1"/>
  <c r="DZ18" i="69"/>
  <c r="EJ18" i="69" s="1"/>
  <c r="DY18" i="69"/>
  <c r="DZ17" i="69"/>
  <c r="EJ17" i="69" s="1"/>
  <c r="DY17" i="69"/>
  <c r="DZ12" i="69"/>
  <c r="EJ12" i="69" s="1"/>
  <c r="DY12" i="69"/>
  <c r="DZ14" i="69"/>
  <c r="EJ14" i="69" s="1"/>
  <c r="DY14" i="69"/>
  <c r="DZ11" i="69"/>
  <c r="EJ11" i="69" s="1"/>
  <c r="DY11" i="69"/>
  <c r="DY16" i="69"/>
  <c r="DZ16" i="69"/>
  <c r="EJ16" i="69" s="1"/>
  <c r="EU5" i="68" l="1"/>
  <c r="AQ5" i="68" s="1"/>
  <c r="EJ5" i="68"/>
  <c r="AO5" i="68" s="1"/>
  <c r="DY15" i="69"/>
  <c r="DY8" i="68"/>
  <c r="EK9" i="68"/>
  <c r="EU9" i="68" s="1"/>
  <c r="DY9" i="69"/>
  <c r="DY19" i="69"/>
  <c r="DZ20" i="68"/>
  <c r="DY15" i="68"/>
  <c r="DY12" i="68"/>
  <c r="DY7" i="69"/>
  <c r="EK19" i="69"/>
  <c r="EU19" i="69" s="1"/>
  <c r="DZ13" i="69"/>
  <c r="EJ13" i="69" s="1"/>
  <c r="DY20" i="69"/>
  <c r="DZ7" i="68"/>
  <c r="EJ7" i="68" s="1"/>
  <c r="DZ10" i="68"/>
  <c r="EJ10" i="68" s="1"/>
  <c r="EJ20" i="69"/>
  <c r="EK20" i="69"/>
  <c r="EU20" i="69" s="1"/>
  <c r="EK18" i="68"/>
  <c r="EU18" i="68" s="1"/>
  <c r="DY8" i="69"/>
  <c r="DZ8" i="69"/>
  <c r="DY10" i="69"/>
  <c r="EK16" i="69"/>
  <c r="EU16" i="69" s="1"/>
  <c r="EK17" i="68"/>
  <c r="EU17" i="68" s="1"/>
  <c r="AP5" i="69"/>
  <c r="AR5" i="69" s="1"/>
  <c r="EK6" i="68"/>
  <c r="EU6" i="68" s="1"/>
  <c r="EK11" i="69"/>
  <c r="EU11" i="69" s="1"/>
  <c r="EK17" i="69"/>
  <c r="EU17" i="69" s="1"/>
  <c r="EK12" i="68"/>
  <c r="EU12" i="68" s="1"/>
  <c r="EK8" i="68"/>
  <c r="EU8" i="68" s="1"/>
  <c r="EK16" i="68"/>
  <c r="EU16" i="68" s="1"/>
  <c r="EK14" i="68"/>
  <c r="EU14" i="68" s="1"/>
  <c r="EK15" i="68"/>
  <c r="EU15" i="68" s="1"/>
  <c r="EK19" i="68"/>
  <c r="EU19" i="68" s="1"/>
  <c r="EK11" i="68"/>
  <c r="EU11" i="68" s="1"/>
  <c r="EK13" i="68"/>
  <c r="EU13" i="68" s="1"/>
  <c r="EK14" i="69"/>
  <c r="EU14" i="69" s="1"/>
  <c r="EK9" i="69"/>
  <c r="EU9" i="69" s="1"/>
  <c r="EK15" i="69"/>
  <c r="EU15" i="69" s="1"/>
  <c r="EK12" i="69"/>
  <c r="EU12" i="69" s="1"/>
  <c r="EK10" i="69"/>
  <c r="EU10" i="69" s="1"/>
  <c r="EK7" i="69"/>
  <c r="EU7" i="69" s="1"/>
  <c r="EK18" i="69"/>
  <c r="EU18" i="69" s="1"/>
  <c r="EK13" i="69" l="1"/>
  <c r="EU13" i="69" s="1"/>
  <c r="AP5" i="68"/>
  <c r="AR5" i="68" s="1"/>
  <c r="EK10" i="68"/>
  <c r="EU10" i="68" s="1"/>
  <c r="EJ20" i="68"/>
  <c r="EK20" i="68"/>
  <c r="EU20" i="68" s="1"/>
  <c r="EK7" i="68"/>
  <c r="EU7" i="68" s="1"/>
  <c r="EJ8" i="69"/>
  <c r="EK8" i="69"/>
  <c r="EU8" i="69" s="1"/>
  <c r="AP6" i="67" l="1"/>
  <c r="AP26" i="32" l="1"/>
  <c r="AP25" i="32"/>
  <c r="AP24" i="32"/>
  <c r="AP23" i="32"/>
  <c r="AP22" i="32"/>
  <c r="AP21" i="32"/>
  <c r="AP20" i="32"/>
  <c r="AP19" i="32"/>
  <c r="AP18" i="32"/>
  <c r="AP17" i="32"/>
  <c r="AP16" i="32"/>
  <c r="AP15" i="32"/>
  <c r="AP14" i="32"/>
  <c r="AP13" i="32"/>
  <c r="AP12" i="32"/>
  <c r="AP11" i="32"/>
  <c r="AP10" i="32"/>
  <c r="AP9" i="32"/>
  <c r="AP8" i="32"/>
  <c r="AP7" i="32"/>
  <c r="AP6" i="32"/>
  <c r="DD10" i="42"/>
  <c r="CF10" i="42"/>
  <c r="CE10" i="42"/>
  <c r="CD10" i="42"/>
  <c r="CG10" i="42" s="1"/>
  <c r="CB10" i="42"/>
  <c r="CA10" i="42"/>
  <c r="BZ10" i="42"/>
  <c r="BY10" i="42"/>
  <c r="BG10" i="42"/>
  <c r="AJ10" i="42"/>
  <c r="BG8" i="2"/>
  <c r="AE8" i="2"/>
  <c r="AI9" i="2" l="1"/>
  <c r="AJ9" i="2"/>
  <c r="BG9" i="2"/>
  <c r="AP5" i="32"/>
  <c r="T17" i="67"/>
  <c r="AW26" i="67"/>
  <c r="AW25" i="67"/>
  <c r="AW24" i="67"/>
  <c r="AW23" i="67"/>
  <c r="AW22" i="67"/>
  <c r="AW21" i="67"/>
  <c r="AW20" i="67"/>
  <c r="AW19" i="67"/>
  <c r="AW18" i="67"/>
  <c r="AW17" i="67"/>
  <c r="AW16" i="67"/>
  <c r="AW15" i="67"/>
  <c r="AW13" i="67"/>
  <c r="AW12" i="67"/>
  <c r="AV29" i="67"/>
  <c r="AV26" i="67"/>
  <c r="AV25" i="67"/>
  <c r="AV24" i="67"/>
  <c r="AV23" i="67"/>
  <c r="AV22" i="67"/>
  <c r="AV21" i="67"/>
  <c r="AV20" i="67"/>
  <c r="AV19" i="67"/>
  <c r="AV13" i="67"/>
  <c r="AV12" i="67"/>
  <c r="AV11" i="67"/>
  <c r="AV10" i="67"/>
  <c r="AV9" i="67"/>
  <c r="AV8" i="67"/>
  <c r="AV7" i="67"/>
  <c r="AR31" i="67"/>
  <c r="AR30" i="67"/>
  <c r="AR29" i="67"/>
  <c r="AR28" i="67"/>
  <c r="AR27" i="67"/>
  <c r="AR26" i="67"/>
  <c r="AR25" i="67"/>
  <c r="AR24" i="67"/>
  <c r="AR23" i="67"/>
  <c r="AR22" i="67"/>
  <c r="AR21" i="67"/>
  <c r="AR20" i="67"/>
  <c r="AR19" i="67"/>
  <c r="AR18" i="67"/>
  <c r="AR17" i="67"/>
  <c r="AR16" i="67"/>
  <c r="AR15" i="67"/>
  <c r="AR14" i="67"/>
  <c r="AR13" i="67"/>
  <c r="AR12" i="67"/>
  <c r="AR11" i="67"/>
  <c r="AR10" i="67"/>
  <c r="AR9" i="67"/>
  <c r="AR8" i="67"/>
  <c r="AP8" i="67"/>
  <c r="AR7" i="67"/>
  <c r="AP7" i="67"/>
  <c r="AR6" i="67"/>
  <c r="AR5" i="67"/>
  <c r="AP5" i="67"/>
  <c r="AS6" i="67" s="1"/>
  <c r="AG31" i="67"/>
  <c r="U31" i="67"/>
  <c r="T31" i="67"/>
  <c r="AV31" i="67" s="1"/>
  <c r="Q31" i="67"/>
  <c r="AW31" i="67" s="1"/>
  <c r="E31" i="67"/>
  <c r="AG30" i="67"/>
  <c r="U30" i="67"/>
  <c r="T30" i="67"/>
  <c r="AV30" i="67" s="1"/>
  <c r="Q30" i="67"/>
  <c r="AW30" i="67" s="1"/>
  <c r="E30" i="67"/>
  <c r="AG29" i="67"/>
  <c r="U29" i="67"/>
  <c r="Q29" i="67"/>
  <c r="AW29" i="67" s="1"/>
  <c r="E29" i="67"/>
  <c r="AG28" i="67"/>
  <c r="U28" i="67"/>
  <c r="T28" i="67"/>
  <c r="AV28" i="67" s="1"/>
  <c r="Q28" i="67"/>
  <c r="AW28" i="67" s="1"/>
  <c r="E28" i="67"/>
  <c r="AG27" i="67"/>
  <c r="U27" i="67"/>
  <c r="T27" i="67"/>
  <c r="AV27" i="67" s="1"/>
  <c r="Q27" i="67"/>
  <c r="AW27" i="67" s="1"/>
  <c r="E27" i="67"/>
  <c r="AG26" i="67"/>
  <c r="AG25" i="67"/>
  <c r="AG24" i="67"/>
  <c r="AG23" i="67"/>
  <c r="AG22" i="67"/>
  <c r="AG21" i="67"/>
  <c r="AG20" i="67"/>
  <c r="AG19" i="67"/>
  <c r="AG18" i="67"/>
  <c r="U18" i="67"/>
  <c r="E18" i="67"/>
  <c r="AG17" i="67"/>
  <c r="U17" i="67"/>
  <c r="E17" i="67"/>
  <c r="AG16" i="67"/>
  <c r="U16" i="67"/>
  <c r="T16" i="67"/>
  <c r="AV16" i="67" s="1"/>
  <c r="E16" i="67"/>
  <c r="AG15" i="67"/>
  <c r="U15" i="67"/>
  <c r="T15" i="67"/>
  <c r="E15" i="67"/>
  <c r="AG14" i="67"/>
  <c r="AG13" i="67"/>
  <c r="U13" i="67"/>
  <c r="E13" i="67"/>
  <c r="AG12" i="67"/>
  <c r="U12" i="67"/>
  <c r="Q12" i="67"/>
  <c r="E12" i="67"/>
  <c r="AG11" i="67"/>
  <c r="U11" i="67"/>
  <c r="Q11" i="67"/>
  <c r="AW11" i="67" s="1"/>
  <c r="E11" i="67"/>
  <c r="AG10" i="67"/>
  <c r="U10" i="67"/>
  <c r="Q10" i="67"/>
  <c r="AW10" i="67" s="1"/>
  <c r="E10" i="67"/>
  <c r="AG9" i="67"/>
  <c r="U9" i="67"/>
  <c r="Q9" i="67"/>
  <c r="AW9" i="67" s="1"/>
  <c r="E9" i="67"/>
  <c r="AG8" i="67"/>
  <c r="U8" i="67"/>
  <c r="Q8" i="67"/>
  <c r="AW8" i="67" s="1"/>
  <c r="E8" i="67"/>
  <c r="AG7" i="67"/>
  <c r="U7" i="67"/>
  <c r="Q7" i="67"/>
  <c r="AW7" i="67" s="1"/>
  <c r="E7" i="67"/>
  <c r="AG6" i="67"/>
  <c r="AG5" i="67"/>
  <c r="U14" i="67"/>
  <c r="T14" i="67"/>
  <c r="AV14" i="67" s="1"/>
  <c r="Q14" i="67"/>
  <c r="AW14" i="67" s="1"/>
  <c r="E14" i="67"/>
  <c r="U5" i="67"/>
  <c r="T5" i="67"/>
  <c r="AV5" i="67" s="1"/>
  <c r="Q5" i="67"/>
  <c r="AW5" i="67" s="1"/>
  <c r="E5" i="67"/>
  <c r="T6" i="67"/>
  <c r="AV6" i="67" s="1"/>
  <c r="Q6" i="67"/>
  <c r="AW6" i="67" s="1"/>
  <c r="E6" i="67"/>
  <c r="AS22" i="67" l="1"/>
  <c r="AT22" i="67" s="1"/>
  <c r="AS30" i="67"/>
  <c r="AT30" i="67" s="1"/>
  <c r="AU6" i="67"/>
  <c r="W6" i="67" s="1"/>
  <c r="AT6" i="67"/>
  <c r="AS9" i="67"/>
  <c r="AT9" i="67" s="1"/>
  <c r="AS10" i="67"/>
  <c r="AS31" i="67"/>
  <c r="AT31" i="67" s="1"/>
  <c r="AS18" i="67"/>
  <c r="AS21" i="67"/>
  <c r="AS7" i="67"/>
  <c r="AT7" i="67" s="1"/>
  <c r="AS13" i="67"/>
  <c r="AS20" i="67"/>
  <c r="AT20" i="67" s="1"/>
  <c r="AS17" i="67"/>
  <c r="AS29" i="67"/>
  <c r="AS8" i="67"/>
  <c r="AT8" i="67" s="1"/>
  <c r="AS5" i="67"/>
  <c r="AS23" i="67"/>
  <c r="AS24" i="67"/>
  <c r="AS28" i="67"/>
  <c r="AS19" i="67"/>
  <c r="AS11" i="67"/>
  <c r="AT11" i="67" s="1"/>
  <c r="AS25" i="67"/>
  <c r="AT25" i="67" s="1"/>
  <c r="AS14" i="67"/>
  <c r="AS26" i="67"/>
  <c r="AT26" i="67" s="1"/>
  <c r="AS15" i="67"/>
  <c r="AS12" i="67"/>
  <c r="AS16" i="67"/>
  <c r="AS27" i="67"/>
  <c r="AU11" i="67"/>
  <c r="W11" i="67" s="1"/>
  <c r="AV18" i="67"/>
  <c r="AV17" i="67"/>
  <c r="AV15" i="67"/>
  <c r="AG51" i="67"/>
  <c r="AG56" i="67" s="1"/>
  <c r="AG50" i="67"/>
  <c r="AG48" i="67"/>
  <c r="AG53" i="67" s="1"/>
  <c r="AG49" i="67"/>
  <c r="AD9" i="57"/>
  <c r="AD8" i="57"/>
  <c r="AD7" i="57"/>
  <c r="AD6" i="57"/>
  <c r="BJ4" i="33"/>
  <c r="BK4" i="33" s="1"/>
  <c r="BL4" i="33" s="1"/>
  <c r="BM4" i="33" s="1"/>
  <c r="BN4" i="33" s="1"/>
  <c r="BO4" i="33" s="1"/>
  <c r="BP4" i="33" s="1"/>
  <c r="BQ4" i="33" s="1"/>
  <c r="BR4" i="33" s="1"/>
  <c r="BS4" i="33" s="1"/>
  <c r="BT4" i="33" s="1"/>
  <c r="AU30" i="67" l="1"/>
  <c r="W30" i="67" s="1"/>
  <c r="AU22" i="67"/>
  <c r="W22" i="67" s="1"/>
  <c r="AX6" i="67"/>
  <c r="AY6" i="67" s="1"/>
  <c r="Y6" i="67" s="1"/>
  <c r="Z6" i="67" s="1"/>
  <c r="AU20" i="67"/>
  <c r="AX20" i="67" s="1"/>
  <c r="AY20" i="67" s="1"/>
  <c r="Y20" i="67" s="1"/>
  <c r="AU7" i="67"/>
  <c r="W7" i="67" s="1"/>
  <c r="AU9" i="67"/>
  <c r="W9" i="67" s="1"/>
  <c r="AU25" i="67"/>
  <c r="AX25" i="67" s="1"/>
  <c r="AY25" i="67" s="1"/>
  <c r="Y25" i="67" s="1"/>
  <c r="AU8" i="67"/>
  <c r="AX8" i="67" s="1"/>
  <c r="AY8" i="67" s="1"/>
  <c r="Y8" i="67" s="1"/>
  <c r="AU5" i="67"/>
  <c r="AT5" i="67"/>
  <c r="AU16" i="67"/>
  <c r="AX16" i="67" s="1"/>
  <c r="AY16" i="67" s="1"/>
  <c r="Y16" i="67" s="1"/>
  <c r="AT16" i="67"/>
  <c r="AU13" i="67"/>
  <c r="AX13" i="67" s="1"/>
  <c r="AT13" i="67"/>
  <c r="AU12" i="67"/>
  <c r="AT12" i="67"/>
  <c r="AU26" i="67"/>
  <c r="AX26" i="67" s="1"/>
  <c r="AY26" i="67" s="1"/>
  <c r="Y26" i="67" s="1"/>
  <c r="AU15" i="67"/>
  <c r="W15" i="67" s="1"/>
  <c r="AT15" i="67"/>
  <c r="AU21" i="67"/>
  <c r="AX21" i="67" s="1"/>
  <c r="AY21" i="67" s="1"/>
  <c r="Y21" i="67" s="1"/>
  <c r="AT21" i="67"/>
  <c r="AU17" i="67"/>
  <c r="AX17" i="67" s="1"/>
  <c r="AY17" i="67" s="1"/>
  <c r="Y17" i="67" s="1"/>
  <c r="AT17" i="67"/>
  <c r="AU27" i="67"/>
  <c r="W27" i="67" s="1"/>
  <c r="AT27" i="67"/>
  <c r="AU23" i="67"/>
  <c r="W23" i="67" s="1"/>
  <c r="AT23" i="67"/>
  <c r="AU29" i="67"/>
  <c r="AX29" i="67" s="1"/>
  <c r="AT29" i="67"/>
  <c r="AU18" i="67"/>
  <c r="AX18" i="67" s="1"/>
  <c r="AY18" i="67" s="1"/>
  <c r="AT18" i="67"/>
  <c r="AU14" i="67"/>
  <c r="AX14" i="67" s="1"/>
  <c r="AY14" i="67" s="1"/>
  <c r="Y14" i="67" s="1"/>
  <c r="AT14" i="67"/>
  <c r="AU10" i="67"/>
  <c r="AT10" i="67"/>
  <c r="AU19" i="67"/>
  <c r="AX19" i="67" s="1"/>
  <c r="AY19" i="67" s="1"/>
  <c r="Y19" i="67" s="1"/>
  <c r="AT19" i="67"/>
  <c r="AU24" i="67"/>
  <c r="W24" i="67" s="1"/>
  <c r="AT24" i="67"/>
  <c r="AU28" i="67"/>
  <c r="W28" i="67" s="1"/>
  <c r="AT28" i="67"/>
  <c r="AU31" i="67"/>
  <c r="W31" i="67" s="1"/>
  <c r="AC6" i="67"/>
  <c r="AD6" i="67" s="1"/>
  <c r="AC13" i="67"/>
  <c r="AD13" i="67" s="1"/>
  <c r="AC18" i="67"/>
  <c r="AD18" i="67" s="1"/>
  <c r="AC15" i="67"/>
  <c r="AD15" i="67" s="1"/>
  <c r="AC23" i="67"/>
  <c r="AD23" i="67" s="1"/>
  <c r="AC11" i="67"/>
  <c r="AD11" i="67" s="1"/>
  <c r="AC5" i="67"/>
  <c r="AC31" i="67"/>
  <c r="AD31" i="67" s="1"/>
  <c r="AC8" i="67"/>
  <c r="AD8" i="67" s="1"/>
  <c r="AC19" i="67"/>
  <c r="AD19" i="67" s="1"/>
  <c r="AC17" i="67"/>
  <c r="AD17" i="67" s="1"/>
  <c r="AC14" i="67"/>
  <c r="AD14" i="67" s="1"/>
  <c r="AC24" i="67"/>
  <c r="AD24" i="67" s="1"/>
  <c r="AC7" i="67"/>
  <c r="AD7" i="67" s="1"/>
  <c r="AC12" i="67"/>
  <c r="AD12" i="67" s="1"/>
  <c r="AC22" i="67"/>
  <c r="AD22" i="67" s="1"/>
  <c r="AC30" i="67"/>
  <c r="AD30" i="67" s="1"/>
  <c r="AC29" i="67"/>
  <c r="AD29" i="67" s="1"/>
  <c r="AC21" i="67"/>
  <c r="AD21" i="67" s="1"/>
  <c r="AC16" i="67"/>
  <c r="AD16" i="67" s="1"/>
  <c r="AC9" i="67"/>
  <c r="AD9" i="67" s="1"/>
  <c r="AC10" i="67"/>
  <c r="AD10" i="67" s="1"/>
  <c r="AC28" i="67"/>
  <c r="AD28" i="67" s="1"/>
  <c r="AC25" i="67"/>
  <c r="AD25" i="67" s="1"/>
  <c r="AC27" i="67"/>
  <c r="AD27" i="67" s="1"/>
  <c r="AC20" i="67"/>
  <c r="AD20" i="67" s="1"/>
  <c r="AC26" i="67"/>
  <c r="AD26" i="67" s="1"/>
  <c r="AZ6" i="67"/>
  <c r="AA6" i="67" s="1"/>
  <c r="AB6" i="67" s="1"/>
  <c r="W20" i="67"/>
  <c r="Z20" i="67" s="1"/>
  <c r="AX11" i="67"/>
  <c r="AY11" i="67" s="1"/>
  <c r="Y11" i="67" s="1"/>
  <c r="Z11" i="67" s="1"/>
  <c r="AX22" i="67"/>
  <c r="AY22" i="67" s="1"/>
  <c r="Y22" i="67" s="1"/>
  <c r="Z22" i="67" s="1"/>
  <c r="AZ20" i="67"/>
  <c r="AA20" i="67" s="1"/>
  <c r="AG54" i="67"/>
  <c r="AG55" i="67"/>
  <c r="AC9" i="57"/>
  <c r="AC8" i="57"/>
  <c r="AC7" i="57"/>
  <c r="AC6" i="57"/>
  <c r="AC5" i="57"/>
  <c r="AD5" i="57" s="1"/>
  <c r="Y10" i="49"/>
  <c r="Z10" i="49" s="1"/>
  <c r="Y9" i="49"/>
  <c r="Z9" i="49" s="1"/>
  <c r="Y7" i="49"/>
  <c r="Z7" i="49" s="1"/>
  <c r="Y5" i="49"/>
  <c r="Z5" i="49" s="1"/>
  <c r="AX30" i="67" l="1"/>
  <c r="AY30" i="67" s="1"/>
  <c r="Y30" i="67" s="1"/>
  <c r="Z30" i="67" s="1"/>
  <c r="W16" i="67"/>
  <c r="Z16" i="67" s="1"/>
  <c r="AX9" i="67"/>
  <c r="AY9" i="67" s="1"/>
  <c r="Y9" i="67" s="1"/>
  <c r="Z9" i="67" s="1"/>
  <c r="W8" i="67"/>
  <c r="Z8" i="67" s="1"/>
  <c r="AX7" i="67"/>
  <c r="AY7" i="67" s="1"/>
  <c r="Y7" i="67" s="1"/>
  <c r="Z7" i="67" s="1"/>
  <c r="W25" i="67"/>
  <c r="Z25" i="67" s="1"/>
  <c r="AD5" i="67"/>
  <c r="AD35" i="67" s="1"/>
  <c r="F21" i="50" s="1"/>
  <c r="AC35" i="67"/>
  <c r="E21" i="50" s="1"/>
  <c r="W29" i="67"/>
  <c r="AZ8" i="67"/>
  <c r="AA8" i="67" s="1"/>
  <c r="AZ16" i="67"/>
  <c r="AA16" i="67" s="1"/>
  <c r="AB16" i="67" s="1"/>
  <c r="AX27" i="67"/>
  <c r="AY27" i="67" s="1"/>
  <c r="Y27" i="67" s="1"/>
  <c r="Z27" i="67" s="1"/>
  <c r="W18" i="67"/>
  <c r="AX24" i="67"/>
  <c r="AY24" i="67" s="1"/>
  <c r="Y24" i="67" s="1"/>
  <c r="Z24" i="67" s="1"/>
  <c r="AX15" i="67"/>
  <c r="AY15" i="67" s="1"/>
  <c r="Y15" i="67" s="1"/>
  <c r="Z15" i="67" s="1"/>
  <c r="W26" i="67"/>
  <c r="Z26" i="67" s="1"/>
  <c r="AZ19" i="67"/>
  <c r="AA19" i="67" s="1"/>
  <c r="W13" i="67"/>
  <c r="W19" i="67"/>
  <c r="Z19" i="67" s="1"/>
  <c r="W17" i="67"/>
  <c r="Z17" i="67" s="1"/>
  <c r="W10" i="67"/>
  <c r="AX10" i="67"/>
  <c r="W12" i="67"/>
  <c r="AX12" i="67"/>
  <c r="AX28" i="67"/>
  <c r="AY28" i="67" s="1"/>
  <c r="Y28" i="67" s="1"/>
  <c r="Z28" i="67" s="1"/>
  <c r="W14" i="67"/>
  <c r="Z14" i="67" s="1"/>
  <c r="AZ21" i="67"/>
  <c r="AA21" i="67" s="1"/>
  <c r="AY13" i="67"/>
  <c r="Y13" i="67" s="1"/>
  <c r="AZ13" i="67"/>
  <c r="AA13" i="67" s="1"/>
  <c r="W21" i="67"/>
  <c r="Z21" i="67" s="1"/>
  <c r="AZ26" i="67"/>
  <c r="AA26" i="67" s="1"/>
  <c r="AX23" i="67"/>
  <c r="AY23" i="67" s="1"/>
  <c r="Y23" i="67" s="1"/>
  <c r="Z23" i="67" s="1"/>
  <c r="W5" i="67"/>
  <c r="AX5" i="67"/>
  <c r="AX31" i="67"/>
  <c r="AY31" i="67" s="1"/>
  <c r="Y31" i="67" s="1"/>
  <c r="Z31" i="67" s="1"/>
  <c r="AZ11" i="67"/>
  <c r="AA11" i="67" s="1"/>
  <c r="AB11" i="67" s="1"/>
  <c r="AZ22" i="67"/>
  <c r="AA22" i="67" s="1"/>
  <c r="AB22" i="67" s="1"/>
  <c r="AZ30" i="67"/>
  <c r="AA30" i="67" s="1"/>
  <c r="AB30" i="67" s="1"/>
  <c r="AY29" i="67"/>
  <c r="Y29" i="67" s="1"/>
  <c r="AB20" i="67"/>
  <c r="AZ17" i="67"/>
  <c r="AA17" i="67" s="1"/>
  <c r="AZ14" i="67"/>
  <c r="AA14" i="67" s="1"/>
  <c r="AZ25" i="67"/>
  <c r="AA25" i="67" s="1"/>
  <c r="AZ18" i="67"/>
  <c r="AA18" i="67" s="1"/>
  <c r="Y18" i="67"/>
  <c r="Z18" i="67" s="1"/>
  <c r="AC45" i="67"/>
  <c r="AD45" i="67"/>
  <c r="T25" i="49"/>
  <c r="AZ7" i="67" l="1"/>
  <c r="AA7" i="67" s="1"/>
  <c r="AB7" i="67" s="1"/>
  <c r="AB25" i="67"/>
  <c r="Z29" i="67"/>
  <c r="AB8" i="67"/>
  <c r="AZ27" i="67"/>
  <c r="AA27" i="67" s="1"/>
  <c r="AB27" i="67" s="1"/>
  <c r="AZ15" i="67"/>
  <c r="AA15" i="67" s="1"/>
  <c r="AB15" i="67" s="1"/>
  <c r="W35" i="67"/>
  <c r="B21" i="50" s="1"/>
  <c r="AB19" i="67"/>
  <c r="AB21" i="67"/>
  <c r="AZ23" i="67"/>
  <c r="AA23" i="67" s="1"/>
  <c r="AB23" i="67" s="1"/>
  <c r="Z13" i="67"/>
  <c r="AB13" i="67" s="1"/>
  <c r="AZ24" i="67"/>
  <c r="AA24" i="67" s="1"/>
  <c r="AB24" i="67" s="1"/>
  <c r="AB26" i="67"/>
  <c r="AY10" i="67"/>
  <c r="Y10" i="67" s="1"/>
  <c r="Z10" i="67" s="1"/>
  <c r="AY5" i="67"/>
  <c r="Y5" i="67" s="1"/>
  <c r="AB14" i="67"/>
  <c r="AZ28" i="67"/>
  <c r="AA28" i="67" s="1"/>
  <c r="AB28" i="67" s="1"/>
  <c r="AY12" i="67"/>
  <c r="Y12" i="67" s="1"/>
  <c r="Z12" i="67" s="1"/>
  <c r="AZ31" i="67"/>
  <c r="AA31" i="67" s="1"/>
  <c r="AB31" i="67" s="1"/>
  <c r="AB18" i="67"/>
  <c r="AZ29" i="67"/>
  <c r="AA29" i="67" s="1"/>
  <c r="AB29" i="67" s="1"/>
  <c r="AB17" i="67"/>
  <c r="AZ9" i="67"/>
  <c r="AA9" i="67" s="1"/>
  <c r="AB9" i="67" s="1"/>
  <c r="W45" i="67"/>
  <c r="AZ12" i="67" l="1"/>
  <c r="AA12" i="67" s="1"/>
  <c r="AB12" i="67" s="1"/>
  <c r="Y35" i="67"/>
  <c r="C21" i="50" s="1"/>
  <c r="AZ10" i="67"/>
  <c r="AA10" i="67" s="1"/>
  <c r="AB10" i="67" s="1"/>
  <c r="AZ5" i="67"/>
  <c r="AA5" i="67" s="1"/>
  <c r="Y45" i="67"/>
  <c r="Z5" i="67"/>
  <c r="Z35" i="67" s="1"/>
  <c r="D21" i="50" s="1"/>
  <c r="P5" i="57"/>
  <c r="L14" i="48"/>
  <c r="L13" i="48"/>
  <c r="AA35" i="67" l="1"/>
  <c r="AB5" i="67"/>
  <c r="AB35" i="67" s="1"/>
  <c r="Z45" i="67"/>
  <c r="T25" i="48" l="1"/>
  <c r="AH5" i="57"/>
  <c r="DC20" i="55"/>
  <c r="BG20" i="55"/>
  <c r="DC19" i="55"/>
  <c r="BG19" i="55"/>
  <c r="DC18" i="55"/>
  <c r="BG18" i="55"/>
  <c r="DC17" i="55"/>
  <c r="BG17" i="55"/>
  <c r="DC16" i="55"/>
  <c r="BG16" i="55"/>
  <c r="DC15" i="55"/>
  <c r="BG15" i="55"/>
  <c r="DC14" i="55"/>
  <c r="CE14" i="55"/>
  <c r="CD14" i="55"/>
  <c r="CC14" i="55"/>
  <c r="CF14" i="55" s="1"/>
  <c r="CA14" i="55"/>
  <c r="BZ14" i="55"/>
  <c r="BY14" i="55"/>
  <c r="BX14" i="55"/>
  <c r="CP4" i="55" s="1"/>
  <c r="DA4" i="55" s="1"/>
  <c r="DM4" i="55" s="1"/>
  <c r="DW4" i="55" s="1"/>
  <c r="EH4" i="55" s="1"/>
  <c r="ES4" i="55" s="1"/>
  <c r="BG14" i="55"/>
  <c r="DC13" i="55"/>
  <c r="CE13" i="55"/>
  <c r="CD13" i="55"/>
  <c r="CC13" i="55"/>
  <c r="CF13" i="55" s="1"/>
  <c r="CA13" i="55"/>
  <c r="BZ13" i="55"/>
  <c r="BY13" i="55"/>
  <c r="BX13" i="55"/>
  <c r="CO4" i="55" s="1"/>
  <c r="CZ4" i="55" s="1"/>
  <c r="DL4" i="55" s="1"/>
  <c r="DV4" i="55" s="1"/>
  <c r="EG4" i="55" s="1"/>
  <c r="ER4" i="55" s="1"/>
  <c r="BG13" i="55"/>
  <c r="DC12" i="55"/>
  <c r="CE12" i="55"/>
  <c r="CD12" i="55"/>
  <c r="CC12" i="55"/>
  <c r="CF12" i="55" s="1"/>
  <c r="CA12" i="55"/>
  <c r="BZ12" i="55"/>
  <c r="BY12" i="55"/>
  <c r="BX12" i="55"/>
  <c r="CN4" i="55" s="1"/>
  <c r="CY4" i="55" s="1"/>
  <c r="DK4" i="55" s="1"/>
  <c r="DU4" i="55" s="1"/>
  <c r="EF4" i="55" s="1"/>
  <c r="EQ4" i="55" s="1"/>
  <c r="BG12" i="55"/>
  <c r="DC11" i="55"/>
  <c r="CE11" i="55"/>
  <c r="CD11" i="55"/>
  <c r="CC11" i="55"/>
  <c r="CF11" i="55" s="1"/>
  <c r="CA11" i="55"/>
  <c r="BZ11" i="55"/>
  <c r="BY11" i="55"/>
  <c r="BX11" i="55"/>
  <c r="CM4" i="55" s="1"/>
  <c r="CX4" i="55" s="1"/>
  <c r="DJ4" i="55" s="1"/>
  <c r="DT4" i="55" s="1"/>
  <c r="EE4" i="55" s="1"/>
  <c r="EP4" i="55" s="1"/>
  <c r="BG11" i="55"/>
  <c r="DC10" i="55"/>
  <c r="CF10" i="55"/>
  <c r="CE10" i="55"/>
  <c r="CD10" i="55"/>
  <c r="CC10" i="55"/>
  <c r="CA10" i="55"/>
  <c r="BZ10" i="55"/>
  <c r="BY10" i="55"/>
  <c r="BX10" i="55"/>
  <c r="BG10" i="55"/>
  <c r="DC9" i="55"/>
  <c r="CE9" i="55"/>
  <c r="CD9" i="55"/>
  <c r="CC9" i="55"/>
  <c r="CF9" i="55" s="1"/>
  <c r="CA9" i="55"/>
  <c r="BZ9" i="55"/>
  <c r="BY9" i="55"/>
  <c r="BX9" i="55"/>
  <c r="CK4" i="55" s="1"/>
  <c r="CV4" i="55" s="1"/>
  <c r="DH4" i="55" s="1"/>
  <c r="DR4" i="55" s="1"/>
  <c r="EC4" i="55" s="1"/>
  <c r="EN4" i="55" s="1"/>
  <c r="BG9" i="55"/>
  <c r="DC8" i="55"/>
  <c r="CE8" i="55"/>
  <c r="CD8" i="55"/>
  <c r="CC8" i="55"/>
  <c r="CF8" i="55" s="1"/>
  <c r="CA8" i="55"/>
  <c r="BZ8" i="55"/>
  <c r="BY8" i="55"/>
  <c r="BX8" i="55"/>
  <c r="CJ4" i="55" s="1"/>
  <c r="CU4" i="55" s="1"/>
  <c r="DG4" i="55" s="1"/>
  <c r="DQ4" i="55" s="1"/>
  <c r="EB4" i="55" s="1"/>
  <c r="EM4" i="55" s="1"/>
  <c r="BG8" i="55"/>
  <c r="EY7" i="55"/>
  <c r="EZ7" i="55" s="1"/>
  <c r="FA7" i="55" s="1"/>
  <c r="EU7" i="55"/>
  <c r="DC7" i="55"/>
  <c r="CE7" i="55"/>
  <c r="CD7" i="55"/>
  <c r="CC7" i="55"/>
  <c r="CF7" i="55" s="1"/>
  <c r="CA7" i="55"/>
  <c r="BZ7" i="55"/>
  <c r="BY7" i="55"/>
  <c r="BX7" i="55"/>
  <c r="CI4" i="55" s="1"/>
  <c r="CT4" i="55" s="1"/>
  <c r="DF4" i="55" s="1"/>
  <c r="DP4" i="55" s="1"/>
  <c r="EA4" i="55" s="1"/>
  <c r="EL4" i="55" s="1"/>
  <c r="BG7" i="55"/>
  <c r="CE6" i="55"/>
  <c r="CD6" i="55"/>
  <c r="CC6" i="55"/>
  <c r="CF6" i="55" s="1"/>
  <c r="CA6" i="55"/>
  <c r="BZ6" i="55"/>
  <c r="BY6" i="55"/>
  <c r="BX6" i="55"/>
  <c r="CH4" i="55" s="1"/>
  <c r="CS4" i="55" s="1"/>
  <c r="DE4" i="55" s="1"/>
  <c r="DO4" i="55" s="1"/>
  <c r="DZ4" i="55" s="1"/>
  <c r="EK4" i="55" s="1"/>
  <c r="BG6" i="55"/>
  <c r="DC6" i="55"/>
  <c r="EU5" i="55"/>
  <c r="CE5" i="55"/>
  <c r="CD5" i="55"/>
  <c r="CC5" i="55"/>
  <c r="CF5" i="55" s="1"/>
  <c r="CA5" i="55"/>
  <c r="BZ5" i="55"/>
  <c r="BY5" i="55"/>
  <c r="BX5" i="55"/>
  <c r="BG5" i="55"/>
  <c r="CL4" i="55"/>
  <c r="CW4" i="55" s="1"/>
  <c r="DI4" i="55" s="1"/>
  <c r="DS4" i="55" s="1"/>
  <c r="ED4" i="55" s="1"/>
  <c r="EO4" i="55" s="1"/>
  <c r="CG4" i="55"/>
  <c r="CR4" i="55" s="1"/>
  <c r="DD4" i="55" s="1"/>
  <c r="DN4" i="55" s="1"/>
  <c r="DY4" i="55" s="1"/>
  <c r="EJ4" i="55" s="1"/>
  <c r="CB4" i="55"/>
  <c r="CA4" i="55"/>
  <c r="BZ4" i="55"/>
  <c r="BY4" i="55"/>
  <c r="CC4" i="55" l="1"/>
  <c r="CJ6" i="55" s="1"/>
  <c r="CU6" i="55" s="1"/>
  <c r="CG14" i="55"/>
  <c r="CG12" i="55"/>
  <c r="DC5" i="55"/>
  <c r="CG18" i="55"/>
  <c r="CG20" i="55"/>
  <c r="CG17" i="55"/>
  <c r="CG16" i="55"/>
  <c r="CG19" i="55"/>
  <c r="CG15" i="55"/>
  <c r="CG13" i="55"/>
  <c r="CG11" i="55"/>
  <c r="CG9" i="55"/>
  <c r="CG7" i="55"/>
  <c r="CD4" i="55"/>
  <c r="CG6" i="55"/>
  <c r="CG10" i="55"/>
  <c r="CE4" i="55"/>
  <c r="CG5" i="55"/>
  <c r="CG8" i="55"/>
  <c r="BG37" i="2"/>
  <c r="DC49" i="2"/>
  <c r="DC48" i="2"/>
  <c r="CH6" i="55" l="1"/>
  <c r="CS6" i="55" s="1"/>
  <c r="CH17" i="55"/>
  <c r="CI16" i="55"/>
  <c r="CH12" i="55"/>
  <c r="CI6" i="55"/>
  <c r="CT6" i="55" s="1"/>
  <c r="CI8" i="55"/>
  <c r="CH16" i="55"/>
  <c r="CI9" i="55"/>
  <c r="CP5" i="55"/>
  <c r="DA5" i="55" s="1"/>
  <c r="CH5" i="55"/>
  <c r="CS5" i="55" s="1"/>
  <c r="CK6" i="55"/>
  <c r="CV6" i="55" s="1"/>
  <c r="CN6" i="55"/>
  <c r="CY6" i="55" s="1"/>
  <c r="CM5" i="55"/>
  <c r="CX5" i="55" s="1"/>
  <c r="CL6" i="55"/>
  <c r="CW6" i="55" s="1"/>
  <c r="CL5" i="55"/>
  <c r="CW5" i="55" s="1"/>
  <c r="CJ5" i="55"/>
  <c r="CU5" i="55" s="1"/>
  <c r="CK5" i="55"/>
  <c r="CV5" i="55" s="1"/>
  <c r="CP6" i="55"/>
  <c r="DA6" i="55" s="1"/>
  <c r="CN5" i="55"/>
  <c r="CY5" i="55" s="1"/>
  <c r="CO5" i="55"/>
  <c r="CZ5" i="55" s="1"/>
  <c r="CM6" i="55"/>
  <c r="CX6" i="55" s="1"/>
  <c r="CN18" i="55"/>
  <c r="CI5" i="55"/>
  <c r="CT5" i="55" s="1"/>
  <c r="CO6" i="55"/>
  <c r="CZ6" i="55" s="1"/>
  <c r="CQ6" i="55"/>
  <c r="CR6" i="55"/>
  <c r="CQ11" i="55"/>
  <c r="CQ16" i="55"/>
  <c r="CQ12" i="55"/>
  <c r="CQ14" i="55"/>
  <c r="DK20" i="55"/>
  <c r="DG20" i="55"/>
  <c r="DJ19" i="55"/>
  <c r="DF19" i="55"/>
  <c r="DI18" i="55"/>
  <c r="DE18" i="55"/>
  <c r="DH17" i="55"/>
  <c r="DD17" i="55"/>
  <c r="DJ16" i="55"/>
  <c r="DF16" i="55"/>
  <c r="DI20" i="55"/>
  <c r="DE20" i="55"/>
  <c r="DH19" i="55"/>
  <c r="DD19" i="55"/>
  <c r="DK18" i="55"/>
  <c r="DG18" i="55"/>
  <c r="DH20" i="55"/>
  <c r="DD20" i="55"/>
  <c r="DK19" i="55"/>
  <c r="DG19" i="55"/>
  <c r="DJ18" i="55"/>
  <c r="DF18" i="55"/>
  <c r="DI17" i="55"/>
  <c r="DE17" i="55"/>
  <c r="DK16" i="55"/>
  <c r="DG16" i="55"/>
  <c r="DH18" i="55"/>
  <c r="DG17" i="55"/>
  <c r="DD16" i="55"/>
  <c r="DJ15" i="55"/>
  <c r="DF15" i="55"/>
  <c r="DH14" i="55"/>
  <c r="DD14" i="55"/>
  <c r="DJ13" i="55"/>
  <c r="DF13" i="55"/>
  <c r="DH12" i="55"/>
  <c r="DD12" i="55"/>
  <c r="DI19" i="55"/>
  <c r="DD18" i="55"/>
  <c r="DF17" i="55"/>
  <c r="DI16" i="55"/>
  <c r="DI15" i="55"/>
  <c r="DE15" i="55"/>
  <c r="DK14" i="55"/>
  <c r="DG14" i="55"/>
  <c r="DI13" i="55"/>
  <c r="DE13" i="55"/>
  <c r="DJ20" i="55"/>
  <c r="DD15" i="55"/>
  <c r="DF14" i="55"/>
  <c r="DK13" i="55"/>
  <c r="DG12" i="55"/>
  <c r="DI11" i="55"/>
  <c r="DE11" i="55"/>
  <c r="DK10" i="55"/>
  <c r="DG10" i="55"/>
  <c r="DI9" i="55"/>
  <c r="DE9" i="55"/>
  <c r="DK8" i="55"/>
  <c r="DG8" i="55"/>
  <c r="DI7" i="55"/>
  <c r="DE7" i="55"/>
  <c r="DK6" i="55"/>
  <c r="DG6" i="55"/>
  <c r="DQ6" i="55" s="1"/>
  <c r="DF20" i="55"/>
  <c r="DK15" i="55"/>
  <c r="DE14" i="55"/>
  <c r="DH13" i="55"/>
  <c r="DK12" i="55"/>
  <c r="DF12" i="55"/>
  <c r="DH11" i="55"/>
  <c r="DD11" i="55"/>
  <c r="DJ10" i="55"/>
  <c r="DF10" i="55"/>
  <c r="DH9" i="55"/>
  <c r="DD9" i="55"/>
  <c r="DJ8" i="55"/>
  <c r="DF8" i="55"/>
  <c r="DH7" i="55"/>
  <c r="DD7" i="55"/>
  <c r="DJ6" i="55"/>
  <c r="DF6" i="55"/>
  <c r="DP6" i="55" s="1"/>
  <c r="DJ17" i="55"/>
  <c r="DG15" i="55"/>
  <c r="DI14" i="55"/>
  <c r="DD13" i="55"/>
  <c r="DE12" i="55"/>
  <c r="DK11" i="55"/>
  <c r="DE10" i="55"/>
  <c r="DJ9" i="55"/>
  <c r="DD8" i="55"/>
  <c r="DF7" i="55"/>
  <c r="DH6" i="55"/>
  <c r="DI5" i="55"/>
  <c r="DE5" i="55"/>
  <c r="DJ12" i="55"/>
  <c r="DG11" i="55"/>
  <c r="DF9" i="55"/>
  <c r="DH8" i="55"/>
  <c r="DG5" i="55"/>
  <c r="DJ11" i="55"/>
  <c r="DD10" i="55"/>
  <c r="DG9" i="55"/>
  <c r="DI8" i="55"/>
  <c r="DK7" i="55"/>
  <c r="DE6" i="55"/>
  <c r="DH5" i="55"/>
  <c r="DD5" i="55"/>
  <c r="DH16" i="55"/>
  <c r="DI10" i="55"/>
  <c r="DJ7" i="55"/>
  <c r="DD6" i="55"/>
  <c r="DK5" i="55"/>
  <c r="DJ14" i="55"/>
  <c r="DK9" i="55"/>
  <c r="DI6" i="55"/>
  <c r="DH15" i="55"/>
  <c r="DI12" i="55"/>
  <c r="DH10" i="55"/>
  <c r="DJ5" i="55"/>
  <c r="DK17" i="55"/>
  <c r="DG13" i="55"/>
  <c r="DE8" i="55"/>
  <c r="DG7" i="55"/>
  <c r="CI7" i="55"/>
  <c r="DF5" i="55"/>
  <c r="EW5" i="55" s="1"/>
  <c r="EY5" i="55" s="1"/>
  <c r="DE19" i="55"/>
  <c r="DE16" i="55"/>
  <c r="DF11" i="55"/>
  <c r="CH11" i="55"/>
  <c r="CK8" i="55"/>
  <c r="CO10" i="55"/>
  <c r="CO14" i="55"/>
  <c r="CN10" i="55"/>
  <c r="CJ10" i="55"/>
  <c r="CP8" i="55"/>
  <c r="CP10" i="55"/>
  <c r="CP12" i="55"/>
  <c r="CK16" i="55"/>
  <c r="CO7" i="55"/>
  <c r="CM10" i="55"/>
  <c r="CM13" i="55"/>
  <c r="CJ18" i="55"/>
  <c r="CK15" i="55"/>
  <c r="CL20" i="55"/>
  <c r="CN14" i="55"/>
  <c r="CK19" i="55"/>
  <c r="CO17" i="55"/>
  <c r="CJ20" i="55"/>
  <c r="CN19" i="55"/>
  <c r="CP16" i="55"/>
  <c r="CO18" i="55"/>
  <c r="CQ8" i="55"/>
  <c r="CH14" i="55"/>
  <c r="CI10" i="55"/>
  <c r="CH13" i="55"/>
  <c r="CH18" i="55"/>
  <c r="CH19" i="55"/>
  <c r="DM18" i="55"/>
  <c r="DL17" i="55"/>
  <c r="DM20" i="55"/>
  <c r="DL19" i="55"/>
  <c r="DL20" i="55"/>
  <c r="DM17" i="55"/>
  <c r="DM19" i="55"/>
  <c r="DL16" i="55"/>
  <c r="DL14" i="55"/>
  <c r="DL12" i="55"/>
  <c r="DM15" i="55"/>
  <c r="DM13" i="55"/>
  <c r="DL18" i="55"/>
  <c r="DL15" i="55"/>
  <c r="DM12" i="55"/>
  <c r="DM11" i="55"/>
  <c r="DM9" i="55"/>
  <c r="DM7" i="55"/>
  <c r="DM16" i="55"/>
  <c r="DM14" i="55"/>
  <c r="DL11" i="55"/>
  <c r="DL9" i="55"/>
  <c r="DL7" i="55"/>
  <c r="DM10" i="55"/>
  <c r="DL8" i="55"/>
  <c r="DM5" i="55"/>
  <c r="DL13" i="55"/>
  <c r="DL6" i="55"/>
  <c r="DL10" i="55"/>
  <c r="DM6" i="55"/>
  <c r="DL5" i="55"/>
  <c r="DM8" i="55"/>
  <c r="CQ13" i="55"/>
  <c r="CQ17" i="55"/>
  <c r="CI15" i="55"/>
  <c r="CI13" i="55"/>
  <c r="CP11" i="55"/>
  <c r="CM9" i="55"/>
  <c r="CL14" i="55"/>
  <c r="CL11" i="55"/>
  <c r="CO19" i="55"/>
  <c r="CO12" i="55"/>
  <c r="CP7" i="55"/>
  <c r="CM11" i="55"/>
  <c r="CJ7" i="55"/>
  <c r="CJ9" i="55"/>
  <c r="CJ11" i="55"/>
  <c r="CJ13" i="55"/>
  <c r="CL17" i="55"/>
  <c r="CM8" i="55"/>
  <c r="CK11" i="55"/>
  <c r="CK14" i="55"/>
  <c r="CK13" i="55"/>
  <c r="CO15" i="55"/>
  <c r="CL13" i="55"/>
  <c r="CL15" i="55"/>
  <c r="CP20" i="55"/>
  <c r="CL18" i="55"/>
  <c r="CN20" i="55"/>
  <c r="CK20" i="55"/>
  <c r="CJ17" i="55"/>
  <c r="CL19" i="55"/>
  <c r="CH7" i="55"/>
  <c r="CH8" i="55"/>
  <c r="CH20" i="55"/>
  <c r="CI12" i="55"/>
  <c r="CH15" i="55"/>
  <c r="CI19" i="55"/>
  <c r="CI20" i="55"/>
  <c r="CQ7" i="55"/>
  <c r="CQ15" i="55"/>
  <c r="CQ20" i="55"/>
  <c r="CN12" i="55"/>
  <c r="CH9" i="55"/>
  <c r="CJ16" i="55"/>
  <c r="CJ8" i="55"/>
  <c r="CJ15" i="55"/>
  <c r="CM7" i="55"/>
  <c r="CJ12" i="55"/>
  <c r="CO8" i="55"/>
  <c r="CK12" i="55"/>
  <c r="CN7" i="55"/>
  <c r="CN9" i="55"/>
  <c r="CN11" i="55"/>
  <c r="CP14" i="55"/>
  <c r="CK9" i="55"/>
  <c r="CO11" i="55"/>
  <c r="CN15" i="55"/>
  <c r="CO13" i="55"/>
  <c r="CN16" i="55"/>
  <c r="CP13" i="55"/>
  <c r="CP15" i="55"/>
  <c r="CM16" i="55"/>
  <c r="CP18" i="55"/>
  <c r="CM18" i="55"/>
  <c r="CO20" i="55"/>
  <c r="CN17" i="55"/>
  <c r="CP19" i="55"/>
  <c r="CQ5" i="55"/>
  <c r="CH10" i="55"/>
  <c r="CI14" i="55"/>
  <c r="CI17" i="55"/>
  <c r="CI18" i="55"/>
  <c r="CQ10" i="55"/>
  <c r="CQ9" i="55"/>
  <c r="CQ19" i="55"/>
  <c r="CQ18" i="55"/>
  <c r="CR5" i="55"/>
  <c r="CI11" i="55"/>
  <c r="CK10" i="55"/>
  <c r="CL7" i="55"/>
  <c r="CN8" i="55"/>
  <c r="CN13" i="55"/>
  <c r="CP9" i="55"/>
  <c r="CL9" i="55"/>
  <c r="CL8" i="55"/>
  <c r="CL10" i="55"/>
  <c r="CL12" i="55"/>
  <c r="CM15" i="55"/>
  <c r="CK7" i="55"/>
  <c r="CO9" i="55"/>
  <c r="CM12" i="55"/>
  <c r="CM17" i="55"/>
  <c r="CM14" i="55"/>
  <c r="CP17" i="55"/>
  <c r="CJ14" i="55"/>
  <c r="CO16" i="55"/>
  <c r="CK17" i="55"/>
  <c r="CM19" i="55"/>
  <c r="CJ19" i="55"/>
  <c r="CL16" i="55"/>
  <c r="CK18" i="55"/>
  <c r="CM20" i="55"/>
  <c r="AR6" i="49"/>
  <c r="DO6" i="55" l="1"/>
  <c r="DZ6" i="55" s="1"/>
  <c r="EK6" i="55" s="1"/>
  <c r="DW5" i="55"/>
  <c r="DQ5" i="55"/>
  <c r="EB5" i="55" s="1"/>
  <c r="EM5" i="55" s="1"/>
  <c r="DS5" i="55"/>
  <c r="ED5" i="55" s="1"/>
  <c r="EO5" i="55" s="1"/>
  <c r="DU5" i="55"/>
  <c r="EF5" i="55" s="1"/>
  <c r="EQ5" i="55" s="1"/>
  <c r="DS6" i="55"/>
  <c r="ED6" i="55" s="1"/>
  <c r="EO6" i="55" s="1"/>
  <c r="DU6" i="55"/>
  <c r="EF6" i="55" s="1"/>
  <c r="EQ6" i="55" s="1"/>
  <c r="DO5" i="55"/>
  <c r="DZ5" i="55" s="1"/>
  <c r="EK5" i="55" s="1"/>
  <c r="DR6" i="55"/>
  <c r="EC6" i="55" s="1"/>
  <c r="EN6" i="55" s="1"/>
  <c r="DT6" i="55"/>
  <c r="EE6" i="55" s="1"/>
  <c r="EP6" i="55" s="1"/>
  <c r="DV5" i="55"/>
  <c r="EG5" i="55" s="1"/>
  <c r="ER5" i="55" s="1"/>
  <c r="DW6" i="55"/>
  <c r="EH6" i="55" s="1"/>
  <c r="ES6" i="55" s="1"/>
  <c r="DR5" i="55"/>
  <c r="EC5" i="55" s="1"/>
  <c r="EN5" i="55" s="1"/>
  <c r="DV6" i="55"/>
  <c r="EG6" i="55" s="1"/>
  <c r="ER6" i="55" s="1"/>
  <c r="DT5" i="55"/>
  <c r="EE5" i="55" s="1"/>
  <c r="EP5" i="55" s="1"/>
  <c r="EB6" i="55"/>
  <c r="EM6" i="55" s="1"/>
  <c r="EA6" i="55"/>
  <c r="EL6" i="55" s="1"/>
  <c r="EZ5" i="55"/>
  <c r="FA5" i="55" s="1"/>
  <c r="DN5" i="55"/>
  <c r="DB5" i="55"/>
  <c r="DP5" i="55"/>
  <c r="EH5" i="55"/>
  <c r="ES5" i="55" s="1"/>
  <c r="AS25" i="55"/>
  <c r="AT25" i="55"/>
  <c r="DN6" i="55"/>
  <c r="DB6" i="55"/>
  <c r="DX6" i="55" l="1"/>
  <c r="DY6" i="55"/>
  <c r="EI6" i="55" s="1"/>
  <c r="EA5" i="55"/>
  <c r="EL5" i="55" s="1"/>
  <c r="DY5" i="55"/>
  <c r="EI5" i="55" s="1"/>
  <c r="AO22" i="55" s="1"/>
  <c r="DX5" i="55"/>
  <c r="AM22" i="55"/>
  <c r="F40" i="50"/>
  <c r="F39" i="50"/>
  <c r="D38" i="50"/>
  <c r="AP22" i="55" l="1"/>
  <c r="EJ5" i="55"/>
  <c r="ET5" i="55" s="1"/>
  <c r="EJ6" i="55"/>
  <c r="ET6" i="55" s="1"/>
  <c r="AP8" i="49"/>
  <c r="Y8" i="49" s="1"/>
  <c r="Z8" i="49" s="1"/>
  <c r="AS5" i="57" l="1"/>
  <c r="AO5" i="57"/>
  <c r="T5" i="57"/>
  <c r="S5" i="57"/>
  <c r="AS14" i="48"/>
  <c r="AS13" i="48"/>
  <c r="AD14" i="48"/>
  <c r="AD13" i="48"/>
  <c r="O14" i="48"/>
  <c r="P13" i="48"/>
  <c r="P12" i="48"/>
  <c r="P11" i="48"/>
  <c r="P10" i="48"/>
  <c r="P9" i="48"/>
  <c r="O13" i="48"/>
  <c r="AR13" i="48" s="1"/>
  <c r="AI5" i="42"/>
  <c r="AR14" i="48" l="1"/>
  <c r="AR5" i="57"/>
  <c r="AD35" i="57"/>
  <c r="AC35" i="57"/>
  <c r="AS5" i="49" l="1"/>
  <c r="AS10" i="49"/>
  <c r="AS9" i="49"/>
  <c r="P9" i="49"/>
  <c r="O9" i="49"/>
  <c r="AS8" i="49"/>
  <c r="O8" i="49"/>
  <c r="AS7" i="49"/>
  <c r="F38" i="50"/>
  <c r="AS6" i="49" l="1"/>
  <c r="AP6" i="49"/>
  <c r="Y6" i="49" s="1"/>
  <c r="Z6" i="49" s="1"/>
  <c r="L6" i="49"/>
  <c r="AD10" i="49" l="1"/>
  <c r="AR10" i="49"/>
  <c r="AD9" i="49"/>
  <c r="AR8" i="49"/>
  <c r="AD8" i="49"/>
  <c r="AR7" i="49"/>
  <c r="AD7" i="49"/>
  <c r="AD6" i="49"/>
  <c r="AR5" i="49"/>
  <c r="AD5" i="49"/>
  <c r="AH22" i="37"/>
  <c r="AH21" i="37"/>
  <c r="AH20" i="37"/>
  <c r="AH19" i="37"/>
  <c r="AH18" i="37"/>
  <c r="AH17" i="37"/>
  <c r="AH16" i="37"/>
  <c r="AH15" i="37"/>
  <c r="AH14" i="37"/>
  <c r="AH13" i="37"/>
  <c r="AH12" i="37"/>
  <c r="AH11" i="37"/>
  <c r="AH10" i="37"/>
  <c r="AH9" i="37"/>
  <c r="AH8" i="37"/>
  <c r="AH7" i="37"/>
  <c r="AH6" i="37"/>
  <c r="AH5" i="37"/>
  <c r="EY6" i="43"/>
  <c r="AD12" i="48"/>
  <c r="O12" i="48"/>
  <c r="AR12" i="48" s="1"/>
  <c r="O11" i="48"/>
  <c r="AR11" i="48" s="1"/>
  <c r="O10" i="48"/>
  <c r="AR10" i="48" s="1"/>
  <c r="O9" i="48"/>
  <c r="AR9" i="48" s="1"/>
  <c r="AD8" i="48"/>
  <c r="P8" i="48"/>
  <c r="P7" i="48"/>
  <c r="AR8" i="48"/>
  <c r="AR7" i="48"/>
  <c r="AR6" i="48"/>
  <c r="AD11" i="48"/>
  <c r="AD10" i="48"/>
  <c r="AD9" i="48"/>
  <c r="AD7" i="48"/>
  <c r="AD6" i="48"/>
  <c r="AD5" i="48"/>
  <c r="AL5" i="48"/>
  <c r="AK5" i="48"/>
  <c r="AJ5" i="48"/>
  <c r="AO5" i="48"/>
  <c r="AN5" i="48"/>
  <c r="AM5" i="48"/>
  <c r="AL4" i="48"/>
  <c r="AO4" i="48" s="1"/>
  <c r="AK4" i="48"/>
  <c r="AN4" i="48" s="1"/>
  <c r="AJ4" i="48"/>
  <c r="AM4" i="48" s="1"/>
  <c r="AS9" i="48" s="1"/>
  <c r="AM10" i="46"/>
  <c r="AM9" i="46"/>
  <c r="AM8" i="46"/>
  <c r="AM7" i="46"/>
  <c r="AM6" i="46"/>
  <c r="AM5" i="46"/>
  <c r="AK12" i="34"/>
  <c r="AK11" i="34"/>
  <c r="AK10" i="34"/>
  <c r="AK9" i="34"/>
  <c r="AK8" i="34"/>
  <c r="AK7" i="34"/>
  <c r="AK6" i="34"/>
  <c r="AK5" i="34"/>
  <c r="EZ6" i="45"/>
  <c r="EY6" i="45"/>
  <c r="CF6" i="45"/>
  <c r="CE6" i="45"/>
  <c r="CD6" i="45"/>
  <c r="CB6" i="45"/>
  <c r="CA6" i="45"/>
  <c r="BZ6" i="45"/>
  <c r="BY6" i="45"/>
  <c r="BG6" i="45"/>
  <c r="AJ6" i="45"/>
  <c r="AI6" i="45"/>
  <c r="L7" i="48" l="1"/>
  <c r="L10" i="48"/>
  <c r="L6" i="48"/>
  <c r="L8" i="48"/>
  <c r="L11" i="48"/>
  <c r="L12" i="48"/>
  <c r="L9" i="48"/>
  <c r="L5" i="48"/>
  <c r="AP41" i="32"/>
  <c r="AS7" i="48"/>
  <c r="AS11" i="48"/>
  <c r="AP12" i="48"/>
  <c r="Y12" i="48" s="1"/>
  <c r="Z12" i="48" s="1"/>
  <c r="AS5" i="48"/>
  <c r="AS12" i="48"/>
  <c r="AP9" i="48"/>
  <c r="Y9" i="48" s="1"/>
  <c r="Z9" i="48" s="1"/>
  <c r="AP11" i="48"/>
  <c r="Y11" i="48" s="1"/>
  <c r="Z11" i="48" s="1"/>
  <c r="AS8" i="48"/>
  <c r="AP10" i="48"/>
  <c r="Y10" i="48" s="1"/>
  <c r="Z10" i="48" s="1"/>
  <c r="AR9" i="49"/>
  <c r="AS10" i="48"/>
  <c r="AS6" i="48"/>
  <c r="AP6" i="48"/>
  <c r="Y6" i="48" s="1"/>
  <c r="Z6" i="48" s="1"/>
  <c r="AP5" i="48"/>
  <c r="Y5" i="48" s="1"/>
  <c r="Z5" i="48" s="1"/>
  <c r="AP8" i="48"/>
  <c r="Y8" i="48" s="1"/>
  <c r="Z8" i="48" s="1"/>
  <c r="AP7" i="48"/>
  <c r="FA6" i="45"/>
  <c r="FB6" i="45" s="1"/>
  <c r="DD6" i="45"/>
  <c r="CG6" i="45"/>
  <c r="Y7" i="48" l="1"/>
  <c r="Z7" i="48" s="1"/>
  <c r="CF13" i="43"/>
  <c r="CE13" i="43"/>
  <c r="CD13" i="43"/>
  <c r="CG13" i="43" s="1"/>
  <c r="CB13" i="43"/>
  <c r="CA13" i="43"/>
  <c r="BZ13" i="43"/>
  <c r="BY13" i="43"/>
  <c r="DD13" i="43"/>
  <c r="Y25" i="49" l="1"/>
  <c r="E29" i="50" s="1"/>
  <c r="AI47" i="2"/>
  <c r="Z25" i="49" l="1"/>
  <c r="F29" i="50" s="1"/>
  <c r="BG8" i="39"/>
  <c r="AJ8" i="39"/>
  <c r="AI8" i="39"/>
  <c r="AI5" i="39" l="1"/>
  <c r="P6" i="48"/>
  <c r="P5" i="48"/>
  <c r="O5" i="48"/>
  <c r="AP4" i="48"/>
  <c r="AQ4" i="48" s="1"/>
  <c r="AS4" i="48" s="1"/>
  <c r="AT4" i="48" s="1"/>
  <c r="AU4" i="48" s="1"/>
  <c r="AV4" i="48" s="1"/>
  <c r="DC47" i="2"/>
  <c r="BG47" i="2"/>
  <c r="AE47" i="2"/>
  <c r="EY27" i="2"/>
  <c r="EX27" i="2"/>
  <c r="EY26" i="2"/>
  <c r="EX26" i="2"/>
  <c r="DC8" i="2"/>
  <c r="BX8" i="2"/>
  <c r="BY8" i="2"/>
  <c r="BZ8" i="2"/>
  <c r="CA8" i="2"/>
  <c r="CC8" i="2"/>
  <c r="CF8" i="2" s="1"/>
  <c r="CD8" i="2"/>
  <c r="CE8" i="2"/>
  <c r="EZ27" i="2" l="1"/>
  <c r="FA27" i="2" s="1"/>
  <c r="EZ26" i="2"/>
  <c r="FA26" i="2" s="1"/>
  <c r="AR5" i="48"/>
  <c r="M17" i="37"/>
  <c r="M16" i="37"/>
  <c r="M15" i="37"/>
  <c r="M14" i="37"/>
  <c r="M13" i="37"/>
  <c r="M12" i="37"/>
  <c r="M11" i="37"/>
  <c r="M10" i="37"/>
  <c r="M9" i="37"/>
  <c r="M8" i="37"/>
  <c r="M7" i="37"/>
  <c r="M6" i="37"/>
  <c r="M5" i="37"/>
  <c r="DA10" i="46"/>
  <c r="CM10" i="46"/>
  <c r="CL10" i="46"/>
  <c r="DA9" i="46"/>
  <c r="CM9" i="46"/>
  <c r="CL9" i="46"/>
  <c r="DA8" i="46"/>
  <c r="CM8" i="46"/>
  <c r="CL8" i="46"/>
  <c r="DA7" i="46"/>
  <c r="CM7" i="46"/>
  <c r="CL7" i="46"/>
  <c r="DA6" i="46"/>
  <c r="CM6" i="46"/>
  <c r="CL6" i="46"/>
  <c r="H39" i="27"/>
  <c r="AX9" i="46"/>
  <c r="BD10" i="46"/>
  <c r="BD9" i="46"/>
  <c r="BD8" i="46"/>
  <c r="BD7" i="46"/>
  <c r="BD6" i="46"/>
  <c r="AZ12" i="46"/>
  <c r="AX12" i="46"/>
  <c r="AZ9" i="46"/>
  <c r="AX8" i="46"/>
  <c r="AZ8" i="46" s="1"/>
  <c r="AZ6" i="46"/>
  <c r="AX6" i="46"/>
  <c r="AX11" i="46"/>
  <c r="AZ11" i="46" s="1"/>
  <c r="AX5" i="46"/>
  <c r="W10" i="46"/>
  <c r="V10" i="46"/>
  <c r="BQ10" i="46" s="1"/>
  <c r="W9" i="46"/>
  <c r="V9" i="46"/>
  <c r="BQ9" i="46" s="1"/>
  <c r="W8" i="46"/>
  <c r="V8" i="46"/>
  <c r="BQ8" i="46" s="1"/>
  <c r="W7" i="46"/>
  <c r="V7" i="46"/>
  <c r="BQ7" i="46" s="1"/>
  <c r="W6" i="46"/>
  <c r="V6" i="46"/>
  <c r="BQ6" i="46" s="1"/>
  <c r="W5" i="46"/>
  <c r="V5" i="46"/>
  <c r="Y26" i="32"/>
  <c r="X26" i="32"/>
  <c r="Y25" i="32"/>
  <c r="X25" i="32"/>
  <c r="Y24" i="32"/>
  <c r="X24" i="32"/>
  <c r="Y23" i="32"/>
  <c r="X23" i="32"/>
  <c r="Y22" i="32"/>
  <c r="X22" i="32"/>
  <c r="Y21" i="32"/>
  <c r="X21" i="32"/>
  <c r="Y20" i="32"/>
  <c r="X20" i="32"/>
  <c r="Y19" i="32"/>
  <c r="X19" i="32"/>
  <c r="Y18" i="32"/>
  <c r="X18" i="32"/>
  <c r="Y17" i="32"/>
  <c r="X17" i="32"/>
  <c r="Y16" i="32"/>
  <c r="X16" i="32"/>
  <c r="Y15" i="32"/>
  <c r="X15" i="32"/>
  <c r="Y14" i="32"/>
  <c r="X14" i="32"/>
  <c r="Y13" i="32"/>
  <c r="X13" i="32"/>
  <c r="Y12" i="32"/>
  <c r="X12" i="32"/>
  <c r="Y11" i="32"/>
  <c r="X11" i="32"/>
  <c r="Y10" i="32"/>
  <c r="X10" i="32"/>
  <c r="Y9" i="32"/>
  <c r="X9" i="32"/>
  <c r="Y8" i="32"/>
  <c r="X8" i="32"/>
  <c r="Y7" i="32"/>
  <c r="X7" i="32"/>
  <c r="Y6" i="32"/>
  <c r="X6" i="32"/>
  <c r="X5" i="32"/>
  <c r="S10" i="46"/>
  <c r="S9" i="46"/>
  <c r="S8" i="46"/>
  <c r="S7" i="46"/>
  <c r="S6" i="46"/>
  <c r="S5" i="46"/>
  <c r="DA5" i="46"/>
  <c r="BD5" i="46"/>
  <c r="V12" i="34"/>
  <c r="U12" i="34"/>
  <c r="V11" i="34"/>
  <c r="U11" i="34"/>
  <c r="V10" i="34"/>
  <c r="U10" i="34"/>
  <c r="AZ9" i="34"/>
  <c r="AY9" i="34"/>
  <c r="AX9" i="34"/>
  <c r="V9" i="34"/>
  <c r="U9" i="34"/>
  <c r="V8" i="34"/>
  <c r="U8" i="34"/>
  <c r="V7" i="34"/>
  <c r="U7" i="34"/>
  <c r="V6" i="34"/>
  <c r="U6" i="34"/>
  <c r="V5" i="34"/>
  <c r="U5" i="34"/>
  <c r="BT9" i="46" l="1"/>
  <c r="BS10" i="46"/>
  <c r="BF5" i="46"/>
  <c r="BE10" i="46"/>
  <c r="BG10" i="46"/>
  <c r="AG10" i="46" s="1"/>
  <c r="BG6" i="46"/>
  <c r="AG6" i="46" s="1"/>
  <c r="BG7" i="46"/>
  <c r="AG7" i="46" s="1"/>
  <c r="BG9" i="46"/>
  <c r="AG9" i="46" s="1"/>
  <c r="BT6" i="46"/>
  <c r="BT8" i="46"/>
  <c r="BT10" i="46"/>
  <c r="BS7" i="46"/>
  <c r="BE6" i="46"/>
  <c r="BE7" i="46"/>
  <c r="BF8" i="46"/>
  <c r="BE9" i="46"/>
  <c r="BF10" i="46"/>
  <c r="BT5" i="46"/>
  <c r="BT7" i="46"/>
  <c r="BE5" i="46"/>
  <c r="BE8" i="46"/>
  <c r="BS5" i="46"/>
  <c r="BS9" i="46"/>
  <c r="BG5" i="46"/>
  <c r="AG5" i="46" s="1"/>
  <c r="BF6" i="46"/>
  <c r="BF7" i="46"/>
  <c r="BG8" i="46"/>
  <c r="AG8" i="46" s="1"/>
  <c r="BF9" i="46"/>
  <c r="BS6" i="46"/>
  <c r="BS8" i="46"/>
  <c r="CM5" i="46"/>
  <c r="BQ5" i="46"/>
  <c r="BJ10" i="46" l="1"/>
  <c r="AF10" i="46" s="1"/>
  <c r="BJ6" i="46"/>
  <c r="AF6" i="46" s="1"/>
  <c r="BJ8" i="46"/>
  <c r="AF8" i="46" s="1"/>
  <c r="BJ5" i="46"/>
  <c r="AF5" i="46" s="1"/>
  <c r="BJ9" i="46"/>
  <c r="AF9" i="46" s="1"/>
  <c r="BJ7" i="46"/>
  <c r="AF7" i="46" s="1"/>
  <c r="CL5" i="46"/>
  <c r="DD18" i="45"/>
  <c r="DD17" i="45"/>
  <c r="DD16" i="45"/>
  <c r="DD15" i="45"/>
  <c r="DD14" i="45"/>
  <c r="CF14" i="45"/>
  <c r="CE14" i="45"/>
  <c r="CD14" i="45"/>
  <c r="CG14" i="45" s="1"/>
  <c r="CB14" i="45"/>
  <c r="CA14" i="45"/>
  <c r="BZ14" i="45"/>
  <c r="BY14" i="45"/>
  <c r="DD13" i="45"/>
  <c r="CF13" i="45"/>
  <c r="CE13" i="45"/>
  <c r="CD13" i="45"/>
  <c r="CG13" i="45" s="1"/>
  <c r="CB13" i="45"/>
  <c r="CA13" i="45"/>
  <c r="BZ13" i="45"/>
  <c r="BY13" i="45"/>
  <c r="CP4" i="45" s="1"/>
  <c r="DA4" i="45" s="1"/>
  <c r="DM4" i="45" s="1"/>
  <c r="DW4" i="45" s="1"/>
  <c r="EH4" i="45" s="1"/>
  <c r="ES4" i="45" s="1"/>
  <c r="DD12" i="45"/>
  <c r="CF12" i="45"/>
  <c r="CE12" i="45"/>
  <c r="CD12" i="45"/>
  <c r="CG12" i="45" s="1"/>
  <c r="CB12" i="45"/>
  <c r="CA12" i="45"/>
  <c r="BZ12" i="45"/>
  <c r="BY12" i="45"/>
  <c r="CO4" i="45" s="1"/>
  <c r="CZ4" i="45" s="1"/>
  <c r="DL4" i="45" s="1"/>
  <c r="DV4" i="45" s="1"/>
  <c r="EG4" i="45" s="1"/>
  <c r="ER4" i="45" s="1"/>
  <c r="DD11" i="45"/>
  <c r="CF11" i="45"/>
  <c r="CE11" i="45"/>
  <c r="CD11" i="45"/>
  <c r="CG11" i="45" s="1"/>
  <c r="CB11" i="45"/>
  <c r="CA11" i="45"/>
  <c r="BZ11" i="45"/>
  <c r="BY11" i="45"/>
  <c r="CN4" i="45" s="1"/>
  <c r="CY4" i="45" s="1"/>
  <c r="DK4" i="45" s="1"/>
  <c r="DU4" i="45" s="1"/>
  <c r="EF4" i="45" s="1"/>
  <c r="EQ4" i="45" s="1"/>
  <c r="EZ10" i="45"/>
  <c r="EY10" i="45"/>
  <c r="CF10" i="45"/>
  <c r="CE10" i="45"/>
  <c r="CD10" i="45"/>
  <c r="CG10" i="45" s="1"/>
  <c r="CB10" i="45"/>
  <c r="CA10" i="45"/>
  <c r="BZ10" i="45"/>
  <c r="BY10" i="45"/>
  <c r="CM4" i="45" s="1"/>
  <c r="CX4" i="45" s="1"/>
  <c r="DJ4" i="45" s="1"/>
  <c r="DT4" i="45" s="1"/>
  <c r="EE4" i="45" s="1"/>
  <c r="EP4" i="45" s="1"/>
  <c r="CF9" i="45"/>
  <c r="CE9" i="45"/>
  <c r="CD9" i="45"/>
  <c r="CG9" i="45" s="1"/>
  <c r="CB9" i="45"/>
  <c r="CA9" i="45"/>
  <c r="BZ9" i="45"/>
  <c r="BY9" i="45"/>
  <c r="CL4" i="45" s="1"/>
  <c r="CW4" i="45" s="1"/>
  <c r="DI4" i="45" s="1"/>
  <c r="DS4" i="45" s="1"/>
  <c r="ED4" i="45" s="1"/>
  <c r="EO4" i="45" s="1"/>
  <c r="CF8" i="45"/>
  <c r="CE8" i="45"/>
  <c r="CD8" i="45"/>
  <c r="CG8" i="45" s="1"/>
  <c r="CB8" i="45"/>
  <c r="CA8" i="45"/>
  <c r="BZ8" i="45"/>
  <c r="BY8" i="45"/>
  <c r="CK4" i="45" s="1"/>
  <c r="CV4" i="45" s="1"/>
  <c r="DH4" i="45" s="1"/>
  <c r="DR4" i="45" s="1"/>
  <c r="EC4" i="45" s="1"/>
  <c r="EN4" i="45" s="1"/>
  <c r="FB7" i="45"/>
  <c r="CF7" i="45"/>
  <c r="CE7" i="45"/>
  <c r="CD7" i="45"/>
  <c r="CG7" i="45" s="1"/>
  <c r="CB7" i="45"/>
  <c r="CA7" i="45"/>
  <c r="BZ7" i="45"/>
  <c r="BY7" i="45"/>
  <c r="CJ4" i="45" s="1"/>
  <c r="CU4" i="45" s="1"/>
  <c r="DG4" i="45" s="1"/>
  <c r="DQ4" i="45" s="1"/>
  <c r="EB4" i="45" s="1"/>
  <c r="EM4" i="45" s="1"/>
  <c r="DD7" i="45"/>
  <c r="CI4" i="45"/>
  <c r="CT4" i="45" s="1"/>
  <c r="DF4" i="45" s="1"/>
  <c r="DP4" i="45" s="1"/>
  <c r="EA4" i="45" s="1"/>
  <c r="EL4" i="45" s="1"/>
  <c r="DD5" i="45"/>
  <c r="CF5" i="45"/>
  <c r="CE5" i="45"/>
  <c r="CD5" i="45"/>
  <c r="CG5" i="45" s="1"/>
  <c r="CB5" i="45"/>
  <c r="CA5" i="45"/>
  <c r="BZ5" i="45"/>
  <c r="BY5" i="45"/>
  <c r="CH4" i="45" s="1"/>
  <c r="CS4" i="45" s="1"/>
  <c r="DE4" i="45" s="1"/>
  <c r="DO4" i="45" s="1"/>
  <c r="DZ4" i="45" s="1"/>
  <c r="EK4" i="45" s="1"/>
  <c r="BG5" i="45"/>
  <c r="AJ5" i="45"/>
  <c r="CQ4" i="45"/>
  <c r="DB4" i="45" s="1"/>
  <c r="DN4" i="45" s="1"/>
  <c r="DX4" i="45" s="1"/>
  <c r="EI4" i="45" s="1"/>
  <c r="ET4" i="45" s="1"/>
  <c r="CC4" i="45"/>
  <c r="CB4" i="45"/>
  <c r="CA4" i="45"/>
  <c r="BZ4" i="45"/>
  <c r="AE11" i="43"/>
  <c r="AE10" i="43"/>
  <c r="AE8" i="43"/>
  <c r="DD17" i="43"/>
  <c r="DD16" i="43"/>
  <c r="DD15" i="43"/>
  <c r="CF14" i="43"/>
  <c r="CE14" i="43"/>
  <c r="CD14" i="43"/>
  <c r="CG14" i="43" s="1"/>
  <c r="CB14" i="43"/>
  <c r="CA14" i="43"/>
  <c r="BZ14" i="43"/>
  <c r="BY14" i="43"/>
  <c r="CF12" i="43"/>
  <c r="CE12" i="43"/>
  <c r="CD12" i="43"/>
  <c r="CG12" i="43" s="1"/>
  <c r="CB12" i="43"/>
  <c r="CA12" i="43"/>
  <c r="BZ12" i="43"/>
  <c r="BY12" i="43"/>
  <c r="CO4" i="43" s="1"/>
  <c r="CZ4" i="43" s="1"/>
  <c r="DL4" i="43" s="1"/>
  <c r="DV4" i="43" s="1"/>
  <c r="EG4" i="43" s="1"/>
  <c r="ER4" i="43" s="1"/>
  <c r="BG12" i="43"/>
  <c r="AJ12" i="43"/>
  <c r="AI12" i="43"/>
  <c r="CF11" i="43"/>
  <c r="CE11" i="43"/>
  <c r="CD11" i="43"/>
  <c r="CG11" i="43" s="1"/>
  <c r="CB11" i="43"/>
  <c r="CA11" i="43"/>
  <c r="BZ11" i="43"/>
  <c r="BY11" i="43"/>
  <c r="BG11" i="43"/>
  <c r="AJ11" i="43"/>
  <c r="AI11" i="43"/>
  <c r="CF10" i="43"/>
  <c r="CE10" i="43"/>
  <c r="CD10" i="43"/>
  <c r="CG10" i="43" s="1"/>
  <c r="CB10" i="43"/>
  <c r="CA10" i="43"/>
  <c r="BZ10" i="43"/>
  <c r="BY10" i="43"/>
  <c r="CM4" i="43" s="1"/>
  <c r="CX4" i="43" s="1"/>
  <c r="DJ4" i="43" s="1"/>
  <c r="DT4" i="43" s="1"/>
  <c r="EE4" i="43" s="1"/>
  <c r="EP4" i="43" s="1"/>
  <c r="BG10" i="43"/>
  <c r="AJ10" i="43"/>
  <c r="AI10" i="43"/>
  <c r="CL4" i="43"/>
  <c r="CW4" i="43" s="1"/>
  <c r="DI4" i="43" s="1"/>
  <c r="DS4" i="43" s="1"/>
  <c r="ED4" i="43" s="1"/>
  <c r="EO4" i="43" s="1"/>
  <c r="CF8" i="43"/>
  <c r="CE8" i="43"/>
  <c r="CD8" i="43"/>
  <c r="CG8" i="43" s="1"/>
  <c r="CB8" i="43"/>
  <c r="CA8" i="43"/>
  <c r="BZ8" i="43"/>
  <c r="BY8" i="43"/>
  <c r="BG8" i="43"/>
  <c r="AJ8" i="43"/>
  <c r="AI8" i="43"/>
  <c r="CF7" i="43"/>
  <c r="CE7" i="43"/>
  <c r="CD7" i="43"/>
  <c r="CG7" i="43" s="1"/>
  <c r="CB7" i="43"/>
  <c r="CA7" i="43"/>
  <c r="BZ7" i="43"/>
  <c r="BY7" i="43"/>
  <c r="BG7" i="43"/>
  <c r="AJ7" i="43"/>
  <c r="AI7" i="43"/>
  <c r="CF6" i="43"/>
  <c r="CE6" i="43"/>
  <c r="CD6" i="43"/>
  <c r="CG6" i="43" s="1"/>
  <c r="CB6" i="43"/>
  <c r="CA6" i="43"/>
  <c r="BZ6" i="43"/>
  <c r="BY6" i="43"/>
  <c r="CI4" i="43" s="1"/>
  <c r="CT4" i="43" s="1"/>
  <c r="DF4" i="43" s="1"/>
  <c r="DP4" i="43" s="1"/>
  <c r="EA4" i="43" s="1"/>
  <c r="EL4" i="43" s="1"/>
  <c r="BG6" i="43"/>
  <c r="AJ6" i="43"/>
  <c r="AI6" i="43"/>
  <c r="CF5" i="43"/>
  <c r="CE5" i="43"/>
  <c r="CD5" i="43"/>
  <c r="CG5" i="43" s="1"/>
  <c r="CB5" i="43"/>
  <c r="CA5" i="43"/>
  <c r="BZ5" i="43"/>
  <c r="BY5" i="43"/>
  <c r="CH4" i="43" s="1"/>
  <c r="CS4" i="43" s="1"/>
  <c r="DE4" i="43" s="1"/>
  <c r="DO4" i="43" s="1"/>
  <c r="DZ4" i="43" s="1"/>
  <c r="EK4" i="43" s="1"/>
  <c r="BG5" i="43"/>
  <c r="AJ5" i="43"/>
  <c r="DD5" i="43"/>
  <c r="CQ4" i="43"/>
  <c r="DB4" i="43" s="1"/>
  <c r="DN4" i="43" s="1"/>
  <c r="DX4" i="43" s="1"/>
  <c r="EI4" i="43" s="1"/>
  <c r="ET4" i="43" s="1"/>
  <c r="CP4" i="43"/>
  <c r="DA4" i="43" s="1"/>
  <c r="DM4" i="43" s="1"/>
  <c r="DW4" i="43" s="1"/>
  <c r="EH4" i="43" s="1"/>
  <c r="ES4" i="43" s="1"/>
  <c r="CN4" i="43"/>
  <c r="CY4" i="43" s="1"/>
  <c r="DK4" i="43" s="1"/>
  <c r="DU4" i="43" s="1"/>
  <c r="EF4" i="43" s="1"/>
  <c r="EQ4" i="43" s="1"/>
  <c r="CK4" i="43"/>
  <c r="CV4" i="43" s="1"/>
  <c r="DH4" i="43" s="1"/>
  <c r="DR4" i="43" s="1"/>
  <c r="EC4" i="43" s="1"/>
  <c r="EN4" i="43" s="1"/>
  <c r="CJ4" i="43"/>
  <c r="CU4" i="43" s="1"/>
  <c r="DG4" i="43" s="1"/>
  <c r="DQ4" i="43" s="1"/>
  <c r="EB4" i="43" s="1"/>
  <c r="EM4" i="43" s="1"/>
  <c r="CC4" i="43"/>
  <c r="CB4" i="43"/>
  <c r="CA4" i="43"/>
  <c r="BZ4" i="43"/>
  <c r="DD20" i="39"/>
  <c r="DD19" i="39"/>
  <c r="DD18" i="39"/>
  <c r="DD17" i="39"/>
  <c r="DD16" i="39"/>
  <c r="DD15" i="39"/>
  <c r="DD14" i="39"/>
  <c r="CF14" i="39"/>
  <c r="CE14" i="39"/>
  <c r="CD14" i="39"/>
  <c r="CG14" i="39" s="1"/>
  <c r="CB14" i="39"/>
  <c r="CA14" i="39"/>
  <c r="BZ14" i="39"/>
  <c r="BY14" i="39"/>
  <c r="CQ4" i="39" s="1"/>
  <c r="DB4" i="39" s="1"/>
  <c r="DN4" i="39" s="1"/>
  <c r="DX4" i="39" s="1"/>
  <c r="EI4" i="39" s="1"/>
  <c r="ET4" i="39" s="1"/>
  <c r="DD13" i="39"/>
  <c r="CF13" i="39"/>
  <c r="CE13" i="39"/>
  <c r="CD13" i="39"/>
  <c r="CG13" i="39" s="1"/>
  <c r="CB13" i="39"/>
  <c r="CA13" i="39"/>
  <c r="BZ13" i="39"/>
  <c r="BY13" i="39"/>
  <c r="CP4" i="39" s="1"/>
  <c r="DA4" i="39" s="1"/>
  <c r="DM4" i="39" s="1"/>
  <c r="DW4" i="39" s="1"/>
  <c r="EH4" i="39" s="1"/>
  <c r="ES4" i="39" s="1"/>
  <c r="DD12" i="39"/>
  <c r="CF12" i="39"/>
  <c r="CE12" i="39"/>
  <c r="CD12" i="39"/>
  <c r="CG12" i="39" s="1"/>
  <c r="CB12" i="39"/>
  <c r="CA12" i="39"/>
  <c r="BZ12" i="39"/>
  <c r="BY12" i="39"/>
  <c r="CO4" i="39" s="1"/>
  <c r="CZ4" i="39" s="1"/>
  <c r="DL4" i="39" s="1"/>
  <c r="DV4" i="39" s="1"/>
  <c r="EG4" i="39" s="1"/>
  <c r="ER4" i="39" s="1"/>
  <c r="DD11" i="39"/>
  <c r="CF11" i="39"/>
  <c r="CE11" i="39"/>
  <c r="CD11" i="39"/>
  <c r="CG11" i="39" s="1"/>
  <c r="CB11" i="39"/>
  <c r="CA11" i="39"/>
  <c r="BZ11" i="39"/>
  <c r="BY11" i="39"/>
  <c r="CN4" i="39" s="1"/>
  <c r="CY4" i="39" s="1"/>
  <c r="DK4" i="39" s="1"/>
  <c r="DU4" i="39" s="1"/>
  <c r="EF4" i="39" s="1"/>
  <c r="EQ4" i="39" s="1"/>
  <c r="DD10" i="39"/>
  <c r="CF10" i="39"/>
  <c r="CE10" i="39"/>
  <c r="CD10" i="39"/>
  <c r="CG10" i="39" s="1"/>
  <c r="CB10" i="39"/>
  <c r="CA10" i="39"/>
  <c r="BZ10" i="39"/>
  <c r="BY10" i="39"/>
  <c r="CM4" i="39" s="1"/>
  <c r="CX4" i="39" s="1"/>
  <c r="DJ4" i="39" s="1"/>
  <c r="DT4" i="39" s="1"/>
  <c r="EE4" i="39" s="1"/>
  <c r="EP4" i="39" s="1"/>
  <c r="CF9" i="39"/>
  <c r="CE9" i="39"/>
  <c r="CD9" i="39"/>
  <c r="CG9" i="39" s="1"/>
  <c r="CB9" i="39"/>
  <c r="CA9" i="39"/>
  <c r="BZ9" i="39"/>
  <c r="BY9" i="39"/>
  <c r="CF8" i="39"/>
  <c r="CE8" i="39"/>
  <c r="CD8" i="39"/>
  <c r="CG8" i="39" s="1"/>
  <c r="CB8" i="39"/>
  <c r="CA8" i="39"/>
  <c r="BZ8" i="39"/>
  <c r="BY8" i="39"/>
  <c r="CK4" i="39" s="1"/>
  <c r="CV4" i="39" s="1"/>
  <c r="DH4" i="39" s="1"/>
  <c r="DR4" i="39" s="1"/>
  <c r="EC4" i="39" s="1"/>
  <c r="EN4" i="39" s="1"/>
  <c r="FB7" i="39"/>
  <c r="CF7" i="39"/>
  <c r="CE7" i="39"/>
  <c r="CD7" i="39"/>
  <c r="CG7" i="39" s="1"/>
  <c r="CB7" i="39"/>
  <c r="CA7" i="39"/>
  <c r="BZ7" i="39"/>
  <c r="BY7" i="39"/>
  <c r="CJ4" i="39" s="1"/>
  <c r="CU4" i="39" s="1"/>
  <c r="DG4" i="39" s="1"/>
  <c r="DQ4" i="39" s="1"/>
  <c r="EB4" i="39" s="1"/>
  <c r="EM4" i="39" s="1"/>
  <c r="BG7" i="39"/>
  <c r="AJ7" i="39"/>
  <c r="AI7" i="39"/>
  <c r="CF6" i="39"/>
  <c r="CE6" i="39"/>
  <c r="CD6" i="39"/>
  <c r="CG6" i="39" s="1"/>
  <c r="CB6" i="39"/>
  <c r="CA6" i="39"/>
  <c r="BZ6" i="39"/>
  <c r="BY6" i="39"/>
  <c r="CI4" i="39" s="1"/>
  <c r="CT4" i="39" s="1"/>
  <c r="DF4" i="39" s="1"/>
  <c r="DP4" i="39" s="1"/>
  <c r="EA4" i="39" s="1"/>
  <c r="EL4" i="39" s="1"/>
  <c r="AJ6" i="39"/>
  <c r="AI6" i="39"/>
  <c r="DD5" i="39"/>
  <c r="CF5" i="39"/>
  <c r="CE5" i="39"/>
  <c r="CD5" i="39"/>
  <c r="CG5" i="39" s="1"/>
  <c r="CB5" i="39"/>
  <c r="CA5" i="39"/>
  <c r="BZ5" i="39"/>
  <c r="BY5" i="39"/>
  <c r="CH4" i="39" s="1"/>
  <c r="CS4" i="39" s="1"/>
  <c r="DE4" i="39" s="1"/>
  <c r="DO4" i="39" s="1"/>
  <c r="DZ4" i="39" s="1"/>
  <c r="EK4" i="39" s="1"/>
  <c r="BG5" i="39"/>
  <c r="AJ5" i="39"/>
  <c r="AF5" i="39"/>
  <c r="CL4" i="39"/>
  <c r="CW4" i="39" s="1"/>
  <c r="DI4" i="39" s="1"/>
  <c r="DS4" i="39" s="1"/>
  <c r="ED4" i="39" s="1"/>
  <c r="EO4" i="39" s="1"/>
  <c r="CC4" i="39"/>
  <c r="CB4" i="39"/>
  <c r="CA4" i="39"/>
  <c r="BZ4" i="39"/>
  <c r="CF14" i="42"/>
  <c r="CE14" i="42"/>
  <c r="CD14" i="42"/>
  <c r="CG14" i="42" s="1"/>
  <c r="CB14" i="42"/>
  <c r="CA14" i="42"/>
  <c r="BZ14" i="42"/>
  <c r="BY14" i="42"/>
  <c r="CQ4" i="42" s="1"/>
  <c r="DB4" i="42" s="1"/>
  <c r="DN4" i="42" s="1"/>
  <c r="DX4" i="42" s="1"/>
  <c r="EI4" i="42" s="1"/>
  <c r="ET4" i="42" s="1"/>
  <c r="CF13" i="42"/>
  <c r="CE13" i="42"/>
  <c r="CD13" i="42"/>
  <c r="CG13" i="42" s="1"/>
  <c r="CB13" i="42"/>
  <c r="CA13" i="42"/>
  <c r="BZ13" i="42"/>
  <c r="BY13" i="42"/>
  <c r="DD12" i="42"/>
  <c r="CF12" i="42"/>
  <c r="CE12" i="42"/>
  <c r="CD12" i="42"/>
  <c r="CG12" i="42" s="1"/>
  <c r="CB12" i="42"/>
  <c r="CA12" i="42"/>
  <c r="BZ12" i="42"/>
  <c r="BY12" i="42"/>
  <c r="CO4" i="42" s="1"/>
  <c r="CZ4" i="42" s="1"/>
  <c r="DL4" i="42" s="1"/>
  <c r="DV4" i="42" s="1"/>
  <c r="EG4" i="42" s="1"/>
  <c r="ER4" i="42" s="1"/>
  <c r="CF11" i="42"/>
  <c r="CE11" i="42"/>
  <c r="CD11" i="42"/>
  <c r="CG11" i="42" s="1"/>
  <c r="CB11" i="42"/>
  <c r="CA11" i="42"/>
  <c r="BZ11" i="42"/>
  <c r="BY11" i="42"/>
  <c r="CN4" i="42" s="1"/>
  <c r="CY4" i="42" s="1"/>
  <c r="DK4" i="42" s="1"/>
  <c r="DU4" i="42" s="1"/>
  <c r="EF4" i="42" s="1"/>
  <c r="EQ4" i="42" s="1"/>
  <c r="CM4" i="42"/>
  <c r="CX4" i="42" s="1"/>
  <c r="DJ4" i="42" s="1"/>
  <c r="DT4" i="42" s="1"/>
  <c r="EE4" i="42" s="1"/>
  <c r="EP4" i="42" s="1"/>
  <c r="CF9" i="42"/>
  <c r="CE9" i="42"/>
  <c r="CD9" i="42"/>
  <c r="CG9" i="42" s="1"/>
  <c r="CB9" i="42"/>
  <c r="CA9" i="42"/>
  <c r="BZ9" i="42"/>
  <c r="BY9" i="42"/>
  <c r="CL4" i="42" s="1"/>
  <c r="CW4" i="42" s="1"/>
  <c r="DI4" i="42" s="1"/>
  <c r="DS4" i="42" s="1"/>
  <c r="ED4" i="42" s="1"/>
  <c r="EO4" i="42" s="1"/>
  <c r="BG9" i="42"/>
  <c r="AJ9" i="42"/>
  <c r="AI9" i="42"/>
  <c r="CF8" i="42"/>
  <c r="CE8" i="42"/>
  <c r="CD8" i="42"/>
  <c r="CG8" i="42" s="1"/>
  <c r="CB8" i="42"/>
  <c r="CA8" i="42"/>
  <c r="BZ8" i="42"/>
  <c r="BY8" i="42"/>
  <c r="CK4" i="42" s="1"/>
  <c r="CV4" i="42" s="1"/>
  <c r="DH4" i="42" s="1"/>
  <c r="DR4" i="42" s="1"/>
  <c r="EC4" i="42" s="1"/>
  <c r="EN4" i="42" s="1"/>
  <c r="BG8" i="42"/>
  <c r="AJ8" i="42"/>
  <c r="AI8" i="42"/>
  <c r="DD8" i="42" s="1"/>
  <c r="CF7" i="42"/>
  <c r="CE7" i="42"/>
  <c r="CD7" i="42"/>
  <c r="CG7" i="42" s="1"/>
  <c r="CB7" i="42"/>
  <c r="CA7" i="42"/>
  <c r="BZ7" i="42"/>
  <c r="BY7" i="42"/>
  <c r="CJ4" i="42" s="1"/>
  <c r="CU4" i="42" s="1"/>
  <c r="DG4" i="42" s="1"/>
  <c r="DQ4" i="42" s="1"/>
  <c r="EB4" i="42" s="1"/>
  <c r="EM4" i="42" s="1"/>
  <c r="BG7" i="42"/>
  <c r="AJ7" i="42"/>
  <c r="AI7" i="42"/>
  <c r="CF6" i="42"/>
  <c r="CE6" i="42"/>
  <c r="CD6" i="42"/>
  <c r="CG6" i="42" s="1"/>
  <c r="CB6" i="42"/>
  <c r="CA6" i="42"/>
  <c r="BZ6" i="42"/>
  <c r="BY6" i="42"/>
  <c r="CI4" i="42" s="1"/>
  <c r="CT4" i="42" s="1"/>
  <c r="DF4" i="42" s="1"/>
  <c r="DP4" i="42" s="1"/>
  <c r="EA4" i="42" s="1"/>
  <c r="EL4" i="42" s="1"/>
  <c r="BG6" i="42"/>
  <c r="AJ6" i="42"/>
  <c r="AI6" i="42"/>
  <c r="DD6" i="42" s="1"/>
  <c r="CF5" i="42"/>
  <c r="CE5" i="42"/>
  <c r="CD5" i="42"/>
  <c r="CG5" i="42" s="1"/>
  <c r="CB5" i="42"/>
  <c r="CA5" i="42"/>
  <c r="BZ5" i="42"/>
  <c r="BY5" i="42"/>
  <c r="CH4" i="42" s="1"/>
  <c r="CS4" i="42" s="1"/>
  <c r="DE4" i="42" s="1"/>
  <c r="DO4" i="42" s="1"/>
  <c r="DZ4" i="42" s="1"/>
  <c r="EK4" i="42" s="1"/>
  <c r="BG5" i="42"/>
  <c r="AJ5" i="42"/>
  <c r="DD5" i="42"/>
  <c r="AF5" i="42"/>
  <c r="CP4" i="42"/>
  <c r="DA4" i="42" s="1"/>
  <c r="DM4" i="42" s="1"/>
  <c r="DW4" i="42" s="1"/>
  <c r="EH4" i="42" s="1"/>
  <c r="ES4" i="42" s="1"/>
  <c r="CC4" i="42"/>
  <c r="CB4" i="42"/>
  <c r="CA4" i="42"/>
  <c r="BZ4" i="42"/>
  <c r="CH10" i="42" l="1"/>
  <c r="CJ10" i="42"/>
  <c r="CU10" i="42" s="1"/>
  <c r="CI10" i="42"/>
  <c r="CT10" i="42" s="1"/>
  <c r="CS10" i="42"/>
  <c r="CO10" i="42"/>
  <c r="CZ10" i="42" s="1"/>
  <c r="CM10" i="42"/>
  <c r="CX10" i="42" s="1"/>
  <c r="CL10" i="42"/>
  <c r="CW10" i="42" s="1"/>
  <c r="CQ10" i="42"/>
  <c r="DB10" i="42" s="1"/>
  <c r="CP10" i="42"/>
  <c r="DA10" i="42" s="1"/>
  <c r="CK10" i="42"/>
  <c r="CV10" i="42" s="1"/>
  <c r="CN10" i="42"/>
  <c r="CY10" i="42" s="1"/>
  <c r="CH13" i="43"/>
  <c r="CH6" i="45"/>
  <c r="CO8" i="42"/>
  <c r="CE4" i="42"/>
  <c r="CO7" i="39"/>
  <c r="CJ6" i="45"/>
  <c r="CI6" i="45"/>
  <c r="CO6" i="45"/>
  <c r="CK6" i="45"/>
  <c r="CQ6" i="45"/>
  <c r="CP6" i="45"/>
  <c r="CL6" i="45"/>
  <c r="CN6" i="45"/>
  <c r="CM6" i="45"/>
  <c r="CP13" i="43"/>
  <c r="CL13" i="43"/>
  <c r="AF17" i="46"/>
  <c r="E28" i="50" s="1"/>
  <c r="CH14" i="39"/>
  <c r="CJ5" i="39"/>
  <c r="CP5" i="39"/>
  <c r="CH10" i="39"/>
  <c r="CN7" i="39"/>
  <c r="CH15" i="39"/>
  <c r="CJ7" i="39"/>
  <c r="CH12" i="39"/>
  <c r="CK6" i="39"/>
  <c r="CH7" i="39"/>
  <c r="CH17" i="39"/>
  <c r="CK5" i="39"/>
  <c r="CJ6" i="39"/>
  <c r="CO6" i="39"/>
  <c r="CP6" i="39"/>
  <c r="FA10" i="45"/>
  <c r="FB10" i="45" s="1"/>
  <c r="CH13" i="45"/>
  <c r="CR13" i="45" s="1"/>
  <c r="CL5" i="45"/>
  <c r="CQ5" i="45"/>
  <c r="CH11" i="45"/>
  <c r="CR11" i="45" s="1"/>
  <c r="CH15" i="45"/>
  <c r="CR15" i="45" s="1"/>
  <c r="CI8" i="42"/>
  <c r="CJ10" i="43"/>
  <c r="CN5" i="43"/>
  <c r="CK6" i="43"/>
  <c r="CK7" i="43"/>
  <c r="CN10" i="43"/>
  <c r="CI11" i="43"/>
  <c r="CK12" i="43"/>
  <c r="CP5" i="43"/>
  <c r="CL8" i="43"/>
  <c r="CF4" i="43"/>
  <c r="CO7" i="43"/>
  <c r="CM12" i="43"/>
  <c r="CI5" i="43"/>
  <c r="CN8" i="43"/>
  <c r="CJ8" i="42"/>
  <c r="CM9" i="42"/>
  <c r="CJ5" i="42"/>
  <c r="CJ9" i="42"/>
  <c r="CJ6" i="42"/>
  <c r="CJ7" i="42"/>
  <c r="DD10" i="45"/>
  <c r="CN5" i="45"/>
  <c r="CD4" i="45"/>
  <c r="CM10" i="45" s="1"/>
  <c r="CH5" i="45"/>
  <c r="CM5" i="45"/>
  <c r="CH8" i="45"/>
  <c r="DD8" i="45"/>
  <c r="CH18" i="45"/>
  <c r="CH16" i="45"/>
  <c r="CH17" i="45"/>
  <c r="CH14" i="45"/>
  <c r="CH12" i="45"/>
  <c r="CH10" i="45"/>
  <c r="CE4" i="45"/>
  <c r="CI5" i="45"/>
  <c r="CO5" i="45"/>
  <c r="CH7" i="45"/>
  <c r="CH9" i="45"/>
  <c r="DD9" i="45"/>
  <c r="CJ5" i="45"/>
  <c r="CF4" i="45"/>
  <c r="CK5" i="45"/>
  <c r="CP5" i="45"/>
  <c r="CH8" i="43"/>
  <c r="DD11" i="43"/>
  <c r="CP12" i="43"/>
  <c r="CL12" i="43"/>
  <c r="CP11" i="43"/>
  <c r="CL11" i="43"/>
  <c r="CP10" i="43"/>
  <c r="CL10" i="43"/>
  <c r="CQ8" i="43"/>
  <c r="CM8" i="43"/>
  <c r="CP7" i="43"/>
  <c r="CL7" i="43"/>
  <c r="CP6" i="43"/>
  <c r="CL6" i="43"/>
  <c r="CO5" i="43"/>
  <c r="CK5" i="43"/>
  <c r="CO12" i="43"/>
  <c r="CQ11" i="43"/>
  <c r="CK11" i="43"/>
  <c r="CM10" i="43"/>
  <c r="CP8" i="43"/>
  <c r="CK8" i="43"/>
  <c r="CN7" i="43"/>
  <c r="CO6" i="43"/>
  <c r="CM5" i="43"/>
  <c r="CN6" i="43"/>
  <c r="CI6" i="43"/>
  <c r="CN12" i="43"/>
  <c r="CO11" i="43"/>
  <c r="CQ10" i="43"/>
  <c r="CK10" i="43"/>
  <c r="CO8" i="43"/>
  <c r="CJ8" i="43"/>
  <c r="CM7" i="43"/>
  <c r="CD4" i="43"/>
  <c r="CO14" i="43" s="1"/>
  <c r="CJ5" i="43"/>
  <c r="CQ5" i="43"/>
  <c r="DD6" i="43"/>
  <c r="CM6" i="43"/>
  <c r="CQ7" i="43"/>
  <c r="CO10" i="43"/>
  <c r="CM11" i="43"/>
  <c r="CQ12" i="43"/>
  <c r="CL5" i="43"/>
  <c r="CQ6" i="43"/>
  <c r="CJ7" i="43"/>
  <c r="DD8" i="43"/>
  <c r="CI10" i="43"/>
  <c r="DD10" i="43"/>
  <c r="CN11" i="43"/>
  <c r="DD14" i="43"/>
  <c r="CJ11" i="43"/>
  <c r="CI12" i="43"/>
  <c r="DD12" i="43"/>
  <c r="CI8" i="43"/>
  <c r="CH5" i="43"/>
  <c r="CJ6" i="43"/>
  <c r="CI7" i="43"/>
  <c r="DD7" i="43"/>
  <c r="CJ12" i="43"/>
  <c r="CH17" i="43"/>
  <c r="CH16" i="43"/>
  <c r="CE4" i="43"/>
  <c r="CH6" i="43"/>
  <c r="CH7" i="43"/>
  <c r="CH10" i="43"/>
  <c r="CH11" i="43"/>
  <c r="CH12" i="43"/>
  <c r="CH14" i="43"/>
  <c r="CH15" i="43"/>
  <c r="CL5" i="39"/>
  <c r="DD7" i="39"/>
  <c r="CH18" i="39"/>
  <c r="CQ7" i="39"/>
  <c r="CM7" i="39"/>
  <c r="CQ6" i="39"/>
  <c r="CM6" i="39"/>
  <c r="CQ5" i="39"/>
  <c r="CM5" i="39"/>
  <c r="CD4" i="39"/>
  <c r="CQ9" i="39" s="1"/>
  <c r="CH5" i="39"/>
  <c r="CN5" i="39"/>
  <c r="CL6" i="39"/>
  <c r="CK7" i="39"/>
  <c r="CP7" i="39"/>
  <c r="CN8" i="39"/>
  <c r="DD8" i="39"/>
  <c r="CH20" i="39"/>
  <c r="CH19" i="39"/>
  <c r="CH16" i="39"/>
  <c r="CH13" i="39"/>
  <c r="CH11" i="39"/>
  <c r="CH9" i="39"/>
  <c r="CH8" i="39"/>
  <c r="CE4" i="39"/>
  <c r="CO5" i="39"/>
  <c r="CH6" i="39"/>
  <c r="CN6" i="39"/>
  <c r="DD6" i="39"/>
  <c r="CL7" i="39"/>
  <c r="DD9" i="39"/>
  <c r="CF4" i="39"/>
  <c r="CI5" i="39"/>
  <c r="CI6" i="39"/>
  <c r="CI7" i="39"/>
  <c r="CN6" i="42"/>
  <c r="CH17" i="42"/>
  <c r="CH6" i="42"/>
  <c r="CM7" i="42"/>
  <c r="CH5" i="42"/>
  <c r="CF4" i="42"/>
  <c r="CO5" i="42"/>
  <c r="CH18" i="42"/>
  <c r="CH16" i="42"/>
  <c r="CH8" i="42"/>
  <c r="CH15" i="42"/>
  <c r="CH12" i="42"/>
  <c r="CP9" i="42"/>
  <c r="CQ8" i="42"/>
  <c r="CK8" i="42"/>
  <c r="CN7" i="42"/>
  <c r="CQ6" i="42"/>
  <c r="CL6" i="42"/>
  <c r="CQ5" i="42"/>
  <c r="CL5" i="42"/>
  <c r="CH14" i="42"/>
  <c r="CH13" i="42"/>
  <c r="CN9" i="42"/>
  <c r="CI5" i="42"/>
  <c r="CI6" i="42"/>
  <c r="CP7" i="42"/>
  <c r="DD11" i="42"/>
  <c r="DD17" i="42"/>
  <c r="CI7" i="42"/>
  <c r="CI9" i="42"/>
  <c r="CK5" i="42"/>
  <c r="DD7" i="42"/>
  <c r="CQ7" i="42"/>
  <c r="CM8" i="42"/>
  <c r="CH9" i="42"/>
  <c r="CH11" i="42"/>
  <c r="CP5" i="42"/>
  <c r="CP6" i="42"/>
  <c r="CH7" i="42"/>
  <c r="DD9" i="42"/>
  <c r="CQ9" i="42"/>
  <c r="CM5" i="42"/>
  <c r="CM6" i="42"/>
  <c r="CL7" i="42"/>
  <c r="CN8" i="42"/>
  <c r="CL9" i="42"/>
  <c r="DD13" i="42"/>
  <c r="DD14" i="42"/>
  <c r="DD15" i="42"/>
  <c r="DD16" i="42"/>
  <c r="CD4" i="42"/>
  <c r="CN5" i="42"/>
  <c r="CK6" i="42"/>
  <c r="CO6" i="42"/>
  <c r="CK7" i="42"/>
  <c r="CO7" i="42"/>
  <c r="CL8" i="42"/>
  <c r="CP8" i="42"/>
  <c r="CK9" i="42"/>
  <c r="CO9" i="42"/>
  <c r="DD18" i="42"/>
  <c r="CO13" i="43" l="1"/>
  <c r="CK13" i="43"/>
  <c r="CI13" i="43"/>
  <c r="DE10" i="42"/>
  <c r="DO10" i="42" s="1"/>
  <c r="DL10" i="42"/>
  <c r="DV10" i="42" s="1"/>
  <c r="EG10" i="42" s="1"/>
  <c r="ER10" i="42" s="1"/>
  <c r="DI10" i="42"/>
  <c r="DS10" i="42" s="1"/>
  <c r="ED10" i="42" s="1"/>
  <c r="EO10" i="42" s="1"/>
  <c r="DG10" i="42"/>
  <c r="DQ10" i="42" s="1"/>
  <c r="EB10" i="42" s="1"/>
  <c r="EM10" i="42" s="1"/>
  <c r="DH10" i="42"/>
  <c r="DR10" i="42" s="1"/>
  <c r="EC10" i="42" s="1"/>
  <c r="EN10" i="42" s="1"/>
  <c r="DF10" i="42"/>
  <c r="DP10" i="42" s="1"/>
  <c r="EA10" i="42" s="1"/>
  <c r="EL10" i="42" s="1"/>
  <c r="DK10" i="42"/>
  <c r="DU10" i="42" s="1"/>
  <c r="EF10" i="42" s="1"/>
  <c r="EQ10" i="42" s="1"/>
  <c r="DJ10" i="42"/>
  <c r="DT10" i="42" s="1"/>
  <c r="EE10" i="42" s="1"/>
  <c r="EP10" i="42" s="1"/>
  <c r="CM13" i="43"/>
  <c r="CR10" i="42"/>
  <c r="AT10" i="42" s="1"/>
  <c r="F15" i="50" s="1"/>
  <c r="CQ13" i="43"/>
  <c r="DN10" i="42"/>
  <c r="DX10" i="42" s="1"/>
  <c r="EI10" i="42" s="1"/>
  <c r="ET10" i="42" s="1"/>
  <c r="DM10" i="42"/>
  <c r="DW10" i="42" s="1"/>
  <c r="EH10" i="42" s="1"/>
  <c r="ES10" i="42" s="1"/>
  <c r="CJ13" i="43"/>
  <c r="DC10" i="42"/>
  <c r="CN13" i="43"/>
  <c r="CM11" i="39"/>
  <c r="CJ8" i="45"/>
  <c r="CN8" i="45"/>
  <c r="E30" i="50"/>
  <c r="CK8" i="45"/>
  <c r="CI17" i="43"/>
  <c r="CI14" i="43"/>
  <c r="CI9" i="45"/>
  <c r="CQ12" i="39"/>
  <c r="CL17" i="39"/>
  <c r="CO15" i="42"/>
  <c r="CK11" i="42"/>
  <c r="CQ18" i="45"/>
  <c r="CP13" i="45"/>
  <c r="CO16" i="42"/>
  <c r="CJ15" i="39"/>
  <c r="CL17" i="42"/>
  <c r="CO14" i="42"/>
  <c r="CN18" i="39"/>
  <c r="CO12" i="42"/>
  <c r="CM9" i="45"/>
  <c r="DK6" i="45"/>
  <c r="DG6" i="45"/>
  <c r="DL6" i="45"/>
  <c r="DH6" i="45"/>
  <c r="DJ6" i="45"/>
  <c r="DE6" i="45"/>
  <c r="DI6" i="45"/>
  <c r="DF6" i="45"/>
  <c r="DN6" i="45"/>
  <c r="DM6" i="45"/>
  <c r="CR6" i="45"/>
  <c r="AS6" i="45" s="1"/>
  <c r="AT6" i="45" s="1"/>
  <c r="CO10" i="45"/>
  <c r="CP17" i="43"/>
  <c r="DK13" i="43"/>
  <c r="DG13" i="43"/>
  <c r="DI13" i="43"/>
  <c r="DE13" i="43"/>
  <c r="DL13" i="43"/>
  <c r="DJ13" i="43"/>
  <c r="DF13" i="43"/>
  <c r="DH13" i="43"/>
  <c r="CL16" i="43"/>
  <c r="CI15" i="43"/>
  <c r="CQ14" i="43"/>
  <c r="CN15" i="43"/>
  <c r="DM13" i="43"/>
  <c r="DN13" i="43"/>
  <c r="CK15" i="43"/>
  <c r="CR13" i="43"/>
  <c r="CL16" i="39"/>
  <c r="CK8" i="39"/>
  <c r="CI17" i="39"/>
  <c r="CI16" i="39"/>
  <c r="CL12" i="39"/>
  <c r="CO8" i="39"/>
  <c r="CN16" i="39"/>
  <c r="CP10" i="39"/>
  <c r="CI8" i="39"/>
  <c r="CP8" i="39"/>
  <c r="CL13" i="39"/>
  <c r="CP18" i="39"/>
  <c r="CM16" i="39"/>
  <c r="CK9" i="39"/>
  <c r="CJ9" i="39"/>
  <c r="CN10" i="39"/>
  <c r="CK20" i="39"/>
  <c r="CK11" i="39"/>
  <c r="CI15" i="39"/>
  <c r="CQ14" i="39"/>
  <c r="CQ10" i="39"/>
  <c r="CN9" i="39"/>
  <c r="CJ8" i="39"/>
  <c r="CK14" i="39"/>
  <c r="CM9" i="39"/>
  <c r="CL9" i="39"/>
  <c r="CO17" i="39"/>
  <c r="CM18" i="39"/>
  <c r="CP20" i="39"/>
  <c r="CK15" i="39"/>
  <c r="CM8" i="39"/>
  <c r="CQ8" i="39"/>
  <c r="CO9" i="39"/>
  <c r="CL8" i="39"/>
  <c r="CJ14" i="39"/>
  <c r="CL14" i="39"/>
  <c r="CL10" i="39"/>
  <c r="CI9" i="39"/>
  <c r="CM13" i="39"/>
  <c r="CP9" i="39"/>
  <c r="CK13" i="39"/>
  <c r="CQ15" i="45"/>
  <c r="CO9" i="45"/>
  <c r="CO7" i="45"/>
  <c r="CK11" i="45"/>
  <c r="CN9" i="45"/>
  <c r="CM7" i="45"/>
  <c r="CQ13" i="45"/>
  <c r="CJ9" i="45"/>
  <c r="CI7" i="45"/>
  <c r="CJ7" i="45"/>
  <c r="CI17" i="45"/>
  <c r="CQ10" i="45"/>
  <c r="CQ14" i="45"/>
  <c r="CL9" i="45"/>
  <c r="CQ7" i="45"/>
  <c r="CJ15" i="45"/>
  <c r="CJ10" i="45"/>
  <c r="CQ11" i="45"/>
  <c r="CP8" i="45"/>
  <c r="CI8" i="45"/>
  <c r="CN18" i="45"/>
  <c r="CK10" i="45"/>
  <c r="CO8" i="45"/>
  <c r="CK12" i="45"/>
  <c r="CL7" i="45"/>
  <c r="CQ9" i="45"/>
  <c r="CN7" i="45"/>
  <c r="CP9" i="45"/>
  <c r="CM8" i="45"/>
  <c r="CL10" i="45"/>
  <c r="CL8" i="45"/>
  <c r="CI10" i="45"/>
  <c r="CN10" i="45"/>
  <c r="CQ8" i="45"/>
  <c r="CP10" i="45"/>
  <c r="CK7" i="45"/>
  <c r="CK9" i="45"/>
  <c r="CP7" i="45"/>
  <c r="CK14" i="43"/>
  <c r="CM14" i="43"/>
  <c r="CL14" i="43"/>
  <c r="CO15" i="43"/>
  <c r="CQ16" i="43"/>
  <c r="CP14" i="43"/>
  <c r="CM17" i="43"/>
  <c r="CN14" i="43"/>
  <c r="CL15" i="43"/>
  <c r="CM15" i="43"/>
  <c r="CN17" i="43"/>
  <c r="CQ15" i="43"/>
  <c r="CJ14" i="43"/>
  <c r="CJ15" i="43"/>
  <c r="CP15" i="43"/>
  <c r="DM8" i="42"/>
  <c r="DN8" i="42"/>
  <c r="DN7" i="42"/>
  <c r="DM9" i="42"/>
  <c r="CP17" i="42"/>
  <c r="CK14" i="42"/>
  <c r="CM14" i="42"/>
  <c r="DN9" i="42"/>
  <c r="DM5" i="42"/>
  <c r="CJ17" i="42"/>
  <c r="CK13" i="42"/>
  <c r="DN6" i="42"/>
  <c r="DM7" i="42"/>
  <c r="CR12" i="45"/>
  <c r="CL12" i="45"/>
  <c r="CM17" i="45"/>
  <c r="CL16" i="45"/>
  <c r="CR17" i="45"/>
  <c r="DJ18" i="45"/>
  <c r="DF18" i="45"/>
  <c r="DL17" i="45"/>
  <c r="DH17" i="45"/>
  <c r="DJ16" i="45"/>
  <c r="DF16" i="45"/>
  <c r="DI18" i="45"/>
  <c r="DE18" i="45"/>
  <c r="DK17" i="45"/>
  <c r="DG17" i="45"/>
  <c r="DK18" i="45"/>
  <c r="DE17" i="45"/>
  <c r="DL16" i="45"/>
  <c r="DG16" i="45"/>
  <c r="DH18" i="45"/>
  <c r="DJ17" i="45"/>
  <c r="DK16" i="45"/>
  <c r="DE16" i="45"/>
  <c r="DL15" i="45"/>
  <c r="DH15" i="45"/>
  <c r="DJ14" i="45"/>
  <c r="DF14" i="45"/>
  <c r="DL13" i="45"/>
  <c r="DH13" i="45"/>
  <c r="DJ12" i="45"/>
  <c r="DF12" i="45"/>
  <c r="DL11" i="45"/>
  <c r="DH11" i="45"/>
  <c r="DJ10" i="45"/>
  <c r="DF10" i="45"/>
  <c r="DK9" i="45"/>
  <c r="DG9" i="45"/>
  <c r="DK8" i="45"/>
  <c r="DG8" i="45"/>
  <c r="DL7" i="45"/>
  <c r="DH7" i="45"/>
  <c r="DL5" i="45"/>
  <c r="DH5" i="45"/>
  <c r="DL18" i="45"/>
  <c r="DI16" i="45"/>
  <c r="DK15" i="45"/>
  <c r="DF15" i="45"/>
  <c r="DI14" i="45"/>
  <c r="DK13" i="45"/>
  <c r="DF13" i="45"/>
  <c r="DI12" i="45"/>
  <c r="DK11" i="45"/>
  <c r="DF11" i="45"/>
  <c r="DH10" i="45"/>
  <c r="DJ9" i="45"/>
  <c r="DE9" i="45"/>
  <c r="DL8" i="45"/>
  <c r="DF8" i="45"/>
  <c r="DJ7" i="45"/>
  <c r="DE7" i="45"/>
  <c r="DJ5" i="45"/>
  <c r="DE5" i="45"/>
  <c r="AF5" i="45" s="1"/>
  <c r="DJ15" i="45"/>
  <c r="DE15" i="45"/>
  <c r="DH14" i="45"/>
  <c r="DJ13" i="45"/>
  <c r="DE13" i="45"/>
  <c r="DH12" i="45"/>
  <c r="DJ11" i="45"/>
  <c r="DE11" i="45"/>
  <c r="DL10" i="45"/>
  <c r="DG10" i="45"/>
  <c r="DI9" i="45"/>
  <c r="DJ8" i="45"/>
  <c r="DE8" i="45"/>
  <c r="DI7" i="45"/>
  <c r="DI5" i="45"/>
  <c r="DG18" i="45"/>
  <c r="DI17" i="45"/>
  <c r="DI15" i="45"/>
  <c r="CI15" i="45"/>
  <c r="DL14" i="45"/>
  <c r="DG14" i="45"/>
  <c r="DI13" i="45"/>
  <c r="CI13" i="45"/>
  <c r="DL12" i="45"/>
  <c r="DG12" i="45"/>
  <c r="DI11" i="45"/>
  <c r="CI11" i="45"/>
  <c r="DK10" i="45"/>
  <c r="DE10" i="45"/>
  <c r="DH9" i="45"/>
  <c r="DI8" i="45"/>
  <c r="DG7" i="45"/>
  <c r="DG5" i="45"/>
  <c r="DF17" i="45"/>
  <c r="CK17" i="45"/>
  <c r="DH16" i="45"/>
  <c r="CM16" i="45"/>
  <c r="DG15" i="45"/>
  <c r="CM15" i="45"/>
  <c r="DK14" i="45"/>
  <c r="DE14" i="45"/>
  <c r="CO14" i="45"/>
  <c r="CJ14" i="45"/>
  <c r="DG13" i="45"/>
  <c r="CM13" i="45"/>
  <c r="DK12" i="45"/>
  <c r="DE12" i="45"/>
  <c r="CO12" i="45"/>
  <c r="CJ12" i="45"/>
  <c r="DG11" i="45"/>
  <c r="CM11" i="45"/>
  <c r="DI10" i="45"/>
  <c r="DL9" i="45"/>
  <c r="DF9" i="45"/>
  <c r="DH8" i="45"/>
  <c r="DK7" i="45"/>
  <c r="DF7" i="45"/>
  <c r="DK5" i="45"/>
  <c r="DF5" i="45"/>
  <c r="CP14" i="45"/>
  <c r="CP17" i="45"/>
  <c r="CP18" i="45"/>
  <c r="CI16" i="45"/>
  <c r="CL15" i="45"/>
  <c r="CL13" i="45"/>
  <c r="CL11" i="45"/>
  <c r="CJ16" i="45"/>
  <c r="CJ17" i="45"/>
  <c r="CP15" i="45"/>
  <c r="CK13" i="45"/>
  <c r="CR9" i="45"/>
  <c r="CR7" i="45"/>
  <c r="CR14" i="45"/>
  <c r="CR16" i="45"/>
  <c r="CK14" i="45"/>
  <c r="CO11" i="45"/>
  <c r="CP12" i="45"/>
  <c r="CN15" i="45"/>
  <c r="CO16" i="45"/>
  <c r="CM18" i="45"/>
  <c r="CQ17" i="45"/>
  <c r="CP16" i="45"/>
  <c r="CN14" i="45"/>
  <c r="CN12" i="45"/>
  <c r="CJ11" i="45"/>
  <c r="CI18" i="45"/>
  <c r="CJ18" i="45"/>
  <c r="CK15" i="45"/>
  <c r="CM12" i="45"/>
  <c r="DN18" i="45"/>
  <c r="DN16" i="45"/>
  <c r="DM18" i="45"/>
  <c r="DM17" i="45"/>
  <c r="DM16" i="45"/>
  <c r="DN14" i="45"/>
  <c r="DN12" i="45"/>
  <c r="DN10" i="45"/>
  <c r="DN17" i="45"/>
  <c r="DM10" i="45"/>
  <c r="DM14" i="45"/>
  <c r="DM12" i="45"/>
  <c r="DN9" i="45"/>
  <c r="DN7" i="45"/>
  <c r="DN5" i="45"/>
  <c r="DN15" i="45"/>
  <c r="DN13" i="45"/>
  <c r="DN11" i="45"/>
  <c r="DM9" i="45"/>
  <c r="DN8" i="45"/>
  <c r="DM7" i="45"/>
  <c r="DM5" i="45"/>
  <c r="DM15" i="45"/>
  <c r="DM13" i="45"/>
  <c r="DM11" i="45"/>
  <c r="DM8" i="45"/>
  <c r="CR18" i="45"/>
  <c r="CO13" i="45"/>
  <c r="CN16" i="45"/>
  <c r="CN13" i="45"/>
  <c r="CO17" i="45"/>
  <c r="CK16" i="45"/>
  <c r="CK18" i="45"/>
  <c r="CN17" i="45"/>
  <c r="CI14" i="45"/>
  <c r="CI12" i="45"/>
  <c r="CJ13" i="45"/>
  <c r="CM14" i="45"/>
  <c r="CP11" i="45"/>
  <c r="CR10" i="45"/>
  <c r="CO15" i="45"/>
  <c r="CQ12" i="45"/>
  <c r="CR8" i="45"/>
  <c r="CR5" i="45"/>
  <c r="CL17" i="45"/>
  <c r="CN11" i="45"/>
  <c r="CL14" i="45"/>
  <c r="CQ16" i="45"/>
  <c r="CO18" i="45"/>
  <c r="CL18" i="45"/>
  <c r="CR8" i="43"/>
  <c r="AS8" i="43" s="1"/>
  <c r="AT8" i="43" s="1"/>
  <c r="CR7" i="43"/>
  <c r="AS7" i="43" s="1"/>
  <c r="AT7" i="43" s="1"/>
  <c r="CR12" i="43"/>
  <c r="AS12" i="43" s="1"/>
  <c r="AT12" i="43" s="1"/>
  <c r="CR17" i="43"/>
  <c r="CR5" i="43"/>
  <c r="AS5" i="43" s="1"/>
  <c r="AT5" i="43" s="1"/>
  <c r="CP16" i="43"/>
  <c r="CR11" i="43"/>
  <c r="AS11" i="43" s="1"/>
  <c r="AT11" i="43" s="1"/>
  <c r="CR6" i="43"/>
  <c r="AS6" i="43" s="1"/>
  <c r="AT6" i="43" s="1"/>
  <c r="CJ16" i="43"/>
  <c r="CJ17" i="43"/>
  <c r="CI16" i="43"/>
  <c r="CK16" i="43"/>
  <c r="CK17" i="43"/>
  <c r="CR16" i="43"/>
  <c r="DJ17" i="43"/>
  <c r="DF17" i="43"/>
  <c r="DK16" i="43"/>
  <c r="DG16" i="43"/>
  <c r="DI17" i="43"/>
  <c r="DE17" i="43"/>
  <c r="DJ16" i="43"/>
  <c r="DF16" i="43"/>
  <c r="DL17" i="43"/>
  <c r="DH17" i="43"/>
  <c r="DI16" i="43"/>
  <c r="DE16" i="43"/>
  <c r="DL16" i="43"/>
  <c r="DK17" i="43"/>
  <c r="DH16" i="43"/>
  <c r="DG17" i="43"/>
  <c r="DI15" i="43"/>
  <c r="DE15" i="43"/>
  <c r="DH15" i="43"/>
  <c r="DJ14" i="43"/>
  <c r="DF14" i="43"/>
  <c r="DJ12" i="43"/>
  <c r="DF12" i="43"/>
  <c r="DJ11" i="43"/>
  <c r="DF11" i="43"/>
  <c r="DJ10" i="43"/>
  <c r="DF10" i="43"/>
  <c r="DK8" i="43"/>
  <c r="DG8" i="43"/>
  <c r="DJ7" i="43"/>
  <c r="DF7" i="43"/>
  <c r="DJ6" i="43"/>
  <c r="DF6" i="43"/>
  <c r="DI5" i="43"/>
  <c r="DE5" i="43"/>
  <c r="DJ15" i="43"/>
  <c r="DH14" i="43"/>
  <c r="DK12" i="43"/>
  <c r="DE12" i="43"/>
  <c r="DL11" i="43"/>
  <c r="DG11" i="43"/>
  <c r="DH10" i="43"/>
  <c r="DL8" i="43"/>
  <c r="DF8" i="43"/>
  <c r="DI7" i="43"/>
  <c r="DK6" i="43"/>
  <c r="DE6" i="43"/>
  <c r="DH5" i="43"/>
  <c r="DG15" i="43"/>
  <c r="DL14" i="43"/>
  <c r="DG14" i="43"/>
  <c r="DI12" i="43"/>
  <c r="DK11" i="43"/>
  <c r="DE11" i="43"/>
  <c r="DL10" i="43"/>
  <c r="DG10" i="43"/>
  <c r="DJ8" i="43"/>
  <c r="DE8" i="43"/>
  <c r="DH7" i="43"/>
  <c r="DI6" i="43"/>
  <c r="DL15" i="43"/>
  <c r="DI11" i="43"/>
  <c r="DE7" i="43"/>
  <c r="DL6" i="43"/>
  <c r="DG5" i="43"/>
  <c r="DK15" i="43"/>
  <c r="DK14" i="43"/>
  <c r="DL12" i="43"/>
  <c r="DH11" i="43"/>
  <c r="DK10" i="43"/>
  <c r="DL7" i="43"/>
  <c r="DH6" i="43"/>
  <c r="DL5" i="43"/>
  <c r="DF5" i="43"/>
  <c r="DF15" i="43"/>
  <c r="DI14" i="43"/>
  <c r="DH12" i="43"/>
  <c r="DI10" i="43"/>
  <c r="DI8" i="43"/>
  <c r="DK7" i="43"/>
  <c r="DG6" i="43"/>
  <c r="DK5" i="43"/>
  <c r="DE14" i="43"/>
  <c r="DG12" i="43"/>
  <c r="DE10" i="43"/>
  <c r="DH8" i="43"/>
  <c r="DG7" i="43"/>
  <c r="DJ5" i="43"/>
  <c r="CL17" i="43"/>
  <c r="CR15" i="43"/>
  <c r="CR14" i="43"/>
  <c r="CR10" i="43"/>
  <c r="AS10" i="43" s="1"/>
  <c r="AT10" i="43" s="1"/>
  <c r="DN17" i="43"/>
  <c r="DM17" i="43"/>
  <c r="DN16" i="43"/>
  <c r="DM16" i="43"/>
  <c r="DM15" i="43"/>
  <c r="DN15" i="43"/>
  <c r="DN14" i="43"/>
  <c r="DN12" i="43"/>
  <c r="DN11" i="43"/>
  <c r="DN10" i="43"/>
  <c r="DN7" i="43"/>
  <c r="DN6" i="43"/>
  <c r="DM5" i="43"/>
  <c r="DM14" i="43"/>
  <c r="DM10" i="43"/>
  <c r="DN5" i="43"/>
  <c r="DM7" i="43"/>
  <c r="DM12" i="43"/>
  <c r="DN8" i="43"/>
  <c r="DM8" i="43"/>
  <c r="DM11" i="43"/>
  <c r="DM6" i="43"/>
  <c r="CQ17" i="43"/>
  <c r="CN16" i="43"/>
  <c r="CO16" i="43"/>
  <c r="CO17" i="43"/>
  <c r="CM16" i="43"/>
  <c r="CR7" i="39"/>
  <c r="AS7" i="39" s="1"/>
  <c r="AT7" i="39" s="1"/>
  <c r="DN20" i="39"/>
  <c r="DM20" i="39"/>
  <c r="DN19" i="39"/>
  <c r="DM19" i="39"/>
  <c r="DM17" i="39"/>
  <c r="DN17" i="39"/>
  <c r="DN16" i="39"/>
  <c r="DN14" i="39"/>
  <c r="DN18" i="39"/>
  <c r="DN15" i="39"/>
  <c r="DN13" i="39"/>
  <c r="DN11" i="39"/>
  <c r="DN9" i="39"/>
  <c r="DN8" i="39"/>
  <c r="DM15" i="39"/>
  <c r="DM7" i="39"/>
  <c r="DN6" i="39"/>
  <c r="DM18" i="39"/>
  <c r="DM13" i="39"/>
  <c r="DM11" i="39"/>
  <c r="DM9" i="39"/>
  <c r="DM6" i="39"/>
  <c r="DN5" i="39"/>
  <c r="DN12" i="39"/>
  <c r="DN10" i="39"/>
  <c r="DM8" i="39"/>
  <c r="DM5" i="39"/>
  <c r="DM12" i="39"/>
  <c r="DM14" i="39"/>
  <c r="DM10" i="39"/>
  <c r="DN7" i="39"/>
  <c r="DM16" i="39"/>
  <c r="CR5" i="39"/>
  <c r="AS5" i="39" s="1"/>
  <c r="AT5" i="39" s="1"/>
  <c r="DJ20" i="39"/>
  <c r="DF20" i="39"/>
  <c r="DK19" i="39"/>
  <c r="DG19" i="39"/>
  <c r="DI20" i="39"/>
  <c r="DE20" i="39"/>
  <c r="DJ19" i="39"/>
  <c r="DF19" i="39"/>
  <c r="DL20" i="39"/>
  <c r="DH20" i="39"/>
  <c r="DI19" i="39"/>
  <c r="DE19" i="39"/>
  <c r="DL19" i="39"/>
  <c r="DK18" i="39"/>
  <c r="DG18" i="39"/>
  <c r="DI17" i="39"/>
  <c r="DE17" i="39"/>
  <c r="DL18" i="39"/>
  <c r="DF18" i="39"/>
  <c r="DH17" i="39"/>
  <c r="DJ16" i="39"/>
  <c r="DF16" i="39"/>
  <c r="DL15" i="39"/>
  <c r="DH15" i="39"/>
  <c r="DK20" i="39"/>
  <c r="DH19" i="39"/>
  <c r="DH18" i="39"/>
  <c r="DJ17" i="39"/>
  <c r="DL16" i="39"/>
  <c r="DG16" i="39"/>
  <c r="DI15" i="39"/>
  <c r="DL14" i="39"/>
  <c r="DH14" i="39"/>
  <c r="DJ13" i="39"/>
  <c r="DF13" i="39"/>
  <c r="DL12" i="39"/>
  <c r="DH12" i="39"/>
  <c r="DJ11" i="39"/>
  <c r="DF11" i="39"/>
  <c r="DL10" i="39"/>
  <c r="DH10" i="39"/>
  <c r="DJ9" i="39"/>
  <c r="DF9" i="39"/>
  <c r="DJ8" i="39"/>
  <c r="DF8" i="39"/>
  <c r="DK7" i="39"/>
  <c r="DG7" i="39"/>
  <c r="DK6" i="39"/>
  <c r="DG6" i="39"/>
  <c r="DK5" i="39"/>
  <c r="DG5" i="39"/>
  <c r="DG20" i="39"/>
  <c r="DE18" i="39"/>
  <c r="DF17" i="39"/>
  <c r="DK16" i="39"/>
  <c r="DF15" i="39"/>
  <c r="DK14" i="39"/>
  <c r="DF14" i="39"/>
  <c r="DI13" i="39"/>
  <c r="DK12" i="39"/>
  <c r="DF12" i="39"/>
  <c r="DI11" i="39"/>
  <c r="DK10" i="39"/>
  <c r="DF10" i="39"/>
  <c r="DI9" i="39"/>
  <c r="DK8" i="39"/>
  <c r="DE8" i="39"/>
  <c r="DH7" i="39"/>
  <c r="DI6" i="39"/>
  <c r="DJ5" i="39"/>
  <c r="DE5" i="39"/>
  <c r="DL17" i="39"/>
  <c r="DI16" i="39"/>
  <c r="DK15" i="39"/>
  <c r="DE15" i="39"/>
  <c r="DJ14" i="39"/>
  <c r="DE14" i="39"/>
  <c r="DH13" i="39"/>
  <c r="DJ12" i="39"/>
  <c r="DE12" i="39"/>
  <c r="DH11" i="39"/>
  <c r="DJ10" i="39"/>
  <c r="DE10" i="39"/>
  <c r="DH9" i="39"/>
  <c r="DI8" i="39"/>
  <c r="DL7" i="39"/>
  <c r="DF7" i="39"/>
  <c r="DH6" i="39"/>
  <c r="DI5" i="39"/>
  <c r="DJ18" i="39"/>
  <c r="DK17" i="39"/>
  <c r="DH16" i="39"/>
  <c r="DJ15" i="39"/>
  <c r="DI14" i="39"/>
  <c r="DL13" i="39"/>
  <c r="DG13" i="39"/>
  <c r="DI12" i="39"/>
  <c r="DL11" i="39"/>
  <c r="DG11" i="39"/>
  <c r="DI10" i="39"/>
  <c r="DL9" i="39"/>
  <c r="DG9" i="39"/>
  <c r="DH8" i="39"/>
  <c r="DJ7" i="39"/>
  <c r="DE7" i="39"/>
  <c r="DL6" i="39"/>
  <c r="DF6" i="39"/>
  <c r="DH5" i="39"/>
  <c r="DI18" i="39"/>
  <c r="CO18" i="39"/>
  <c r="DE16" i="39"/>
  <c r="CJ16" i="39"/>
  <c r="DG15" i="39"/>
  <c r="CP15" i="39"/>
  <c r="CM14" i="39"/>
  <c r="DE13" i="39"/>
  <c r="CO13" i="39"/>
  <c r="CM10" i="39"/>
  <c r="DE9" i="39"/>
  <c r="DL8" i="39"/>
  <c r="DJ6" i="39"/>
  <c r="CP17" i="39"/>
  <c r="CJ13" i="39"/>
  <c r="DG12" i="39"/>
  <c r="DK11" i="39"/>
  <c r="DG8" i="39"/>
  <c r="DE6" i="39"/>
  <c r="DL5" i="39"/>
  <c r="DG17" i="39"/>
  <c r="CM12" i="39"/>
  <c r="DE11" i="39"/>
  <c r="CO11" i="39"/>
  <c r="DF5" i="39"/>
  <c r="DG14" i="39"/>
  <c r="DK13" i="39"/>
  <c r="CJ11" i="39"/>
  <c r="DG10" i="39"/>
  <c r="DK9" i="39"/>
  <c r="DI7" i="39"/>
  <c r="CQ20" i="39"/>
  <c r="CL11" i="39"/>
  <c r="CP13" i="39"/>
  <c r="CL18" i="39"/>
  <c r="CN15" i="39"/>
  <c r="CP16" i="39"/>
  <c r="CQ18" i="39"/>
  <c r="CK19" i="39"/>
  <c r="CO20" i="39"/>
  <c r="CM19" i="39"/>
  <c r="CN19" i="39"/>
  <c r="CO14" i="39"/>
  <c r="CO12" i="39"/>
  <c r="CO10" i="39"/>
  <c r="CJ12" i="39"/>
  <c r="CI20" i="39"/>
  <c r="CM17" i="39"/>
  <c r="CN13" i="39"/>
  <c r="CN11" i="39"/>
  <c r="CL15" i="39"/>
  <c r="CP12" i="39"/>
  <c r="CK10" i="39"/>
  <c r="CP11" i="39"/>
  <c r="CN14" i="39"/>
  <c r="CK16" i="39"/>
  <c r="CN17" i="39"/>
  <c r="CO19" i="39"/>
  <c r="CL19" i="39"/>
  <c r="CQ19" i="39"/>
  <c r="CQ17" i="39"/>
  <c r="CI14" i="39"/>
  <c r="CI12" i="39"/>
  <c r="CI10" i="39"/>
  <c r="CJ19" i="39"/>
  <c r="CJ10" i="39"/>
  <c r="CJ17" i="39"/>
  <c r="CI18" i="39"/>
  <c r="CJ20" i="39"/>
  <c r="CI19" i="39"/>
  <c r="CO16" i="39"/>
  <c r="CM15" i="39"/>
  <c r="CI13" i="39"/>
  <c r="CI11" i="39"/>
  <c r="CR6" i="39"/>
  <c r="CR9" i="39"/>
  <c r="CJ18" i="39"/>
  <c r="CP14" i="39"/>
  <c r="CK12" i="39"/>
  <c r="CN12" i="39"/>
  <c r="CO15" i="39"/>
  <c r="CQ16" i="39"/>
  <c r="CK18" i="39"/>
  <c r="CM20" i="39"/>
  <c r="CN20" i="39"/>
  <c r="CP19" i="39"/>
  <c r="CL20" i="39"/>
  <c r="CK17" i="39"/>
  <c r="CQ15" i="39"/>
  <c r="CQ13" i="39"/>
  <c r="CQ11" i="39"/>
  <c r="CL16" i="42"/>
  <c r="CN13" i="42"/>
  <c r="CM13" i="42"/>
  <c r="CJ18" i="42"/>
  <c r="CI13" i="42"/>
  <c r="CN11" i="42"/>
  <c r="DM13" i="42"/>
  <c r="CJ12" i="42"/>
  <c r="CK17" i="42"/>
  <c r="CK15" i="42"/>
  <c r="CK12" i="42"/>
  <c r="CK18" i="42"/>
  <c r="CM18" i="42"/>
  <c r="CL18" i="42"/>
  <c r="CO18" i="42"/>
  <c r="CN16" i="42"/>
  <c r="CN15" i="42"/>
  <c r="CL11" i="42"/>
  <c r="CQ16" i="42"/>
  <c r="CL14" i="42"/>
  <c r="CI14" i="42"/>
  <c r="CL12" i="42"/>
  <c r="CM15" i="42"/>
  <c r="CP15" i="42"/>
  <c r="DM15" i="42"/>
  <c r="DN18" i="42"/>
  <c r="CI12" i="42"/>
  <c r="CQ17" i="42"/>
  <c r="CJ15" i="42"/>
  <c r="CJ16" i="42"/>
  <c r="CP11" i="42"/>
  <c r="CM16" i="42"/>
  <c r="CN18" i="42"/>
  <c r="CO17" i="42"/>
  <c r="CO13" i="42"/>
  <c r="CO11" i="42"/>
  <c r="CQ18" i="42"/>
  <c r="CP18" i="42"/>
  <c r="CN17" i="42"/>
  <c r="CI15" i="42"/>
  <c r="CQ11" i="42"/>
  <c r="CL13" i="42"/>
  <c r="CI16" i="42"/>
  <c r="CM12" i="42"/>
  <c r="DN13" i="42"/>
  <c r="DN17" i="42"/>
  <c r="DM11" i="42"/>
  <c r="CM11" i="42"/>
  <c r="DN11" i="42"/>
  <c r="CJ14" i="42"/>
  <c r="CI17" i="42"/>
  <c r="CP13" i="42"/>
  <c r="CQ14" i="42"/>
  <c r="CK16" i="42"/>
  <c r="DN14" i="42"/>
  <c r="DN12" i="42"/>
  <c r="DM12" i="42"/>
  <c r="DM17" i="42"/>
  <c r="CL15" i="42"/>
  <c r="CR6" i="42"/>
  <c r="CP16" i="42"/>
  <c r="CN14" i="42"/>
  <c r="CP12" i="42"/>
  <c r="CN12" i="42"/>
  <c r="CM17" i="42"/>
  <c r="DN5" i="42"/>
  <c r="CI11" i="42"/>
  <c r="CJ11" i="42"/>
  <c r="CJ13" i="42"/>
  <c r="CI18" i="42"/>
  <c r="CQ15" i="42"/>
  <c r="CQ12" i="42"/>
  <c r="CP14" i="42"/>
  <c r="CQ13" i="42"/>
  <c r="DM16" i="42"/>
  <c r="DN15" i="42"/>
  <c r="DM6" i="42"/>
  <c r="DM14" i="42"/>
  <c r="DN16" i="42"/>
  <c r="CR7" i="42"/>
  <c r="CR16" i="42"/>
  <c r="CR17" i="42"/>
  <c r="CR5" i="42"/>
  <c r="AS5" i="42" s="1"/>
  <c r="AT5" i="42" s="1"/>
  <c r="CR15" i="42"/>
  <c r="CR18" i="42"/>
  <c r="DJ18" i="42"/>
  <c r="DF18" i="42"/>
  <c r="DH18" i="42"/>
  <c r="DI17" i="42"/>
  <c r="DE17" i="42"/>
  <c r="DJ16" i="42"/>
  <c r="DF16" i="42"/>
  <c r="DL18" i="42"/>
  <c r="DG18" i="42"/>
  <c r="DL17" i="42"/>
  <c r="DH17" i="42"/>
  <c r="DG17" i="42"/>
  <c r="DK16" i="42"/>
  <c r="DE16" i="42"/>
  <c r="DI15" i="42"/>
  <c r="DE15" i="42"/>
  <c r="DI14" i="42"/>
  <c r="DE14" i="42"/>
  <c r="DI13" i="42"/>
  <c r="DE13" i="42"/>
  <c r="DI12" i="42"/>
  <c r="DE12" i="42"/>
  <c r="DI11" i="42"/>
  <c r="DE11" i="42"/>
  <c r="DI9" i="42"/>
  <c r="DE9" i="42"/>
  <c r="DJ8" i="42"/>
  <c r="DF8" i="42"/>
  <c r="DI7" i="42"/>
  <c r="DE7" i="42"/>
  <c r="DI6" i="42"/>
  <c r="DE6" i="42"/>
  <c r="DL5" i="42"/>
  <c r="DH5" i="42"/>
  <c r="DK18" i="42"/>
  <c r="DF17" i="42"/>
  <c r="DI16" i="42"/>
  <c r="DL15" i="42"/>
  <c r="DH15" i="42"/>
  <c r="DL14" i="42"/>
  <c r="DH14" i="42"/>
  <c r="DL13" i="42"/>
  <c r="DH13" i="42"/>
  <c r="DK17" i="42"/>
  <c r="DG16" i="42"/>
  <c r="DF15" i="42"/>
  <c r="DG14" i="42"/>
  <c r="DG13" i="42"/>
  <c r="DH12" i="42"/>
  <c r="DK11" i="42"/>
  <c r="DF11" i="42"/>
  <c r="DK9" i="42"/>
  <c r="DF9" i="42"/>
  <c r="DL8" i="42"/>
  <c r="DG8" i="42"/>
  <c r="DJ7" i="42"/>
  <c r="DL6" i="42"/>
  <c r="DG6" i="42"/>
  <c r="DG5" i="42"/>
  <c r="DI18" i="42"/>
  <c r="DJ17" i="42"/>
  <c r="DK15" i="42"/>
  <c r="DF14" i="42"/>
  <c r="DF13" i="42"/>
  <c r="DL12" i="42"/>
  <c r="DG12" i="42"/>
  <c r="DJ11" i="42"/>
  <c r="DJ9" i="42"/>
  <c r="DK12" i="42"/>
  <c r="DG11" i="42"/>
  <c r="DG9" i="42"/>
  <c r="DI8" i="42"/>
  <c r="DG7" i="42"/>
  <c r="DH6" i="42"/>
  <c r="DI5" i="42"/>
  <c r="DG15" i="42"/>
  <c r="DK14" i="42"/>
  <c r="DF12" i="42"/>
  <c r="DL11" i="42"/>
  <c r="DL9" i="42"/>
  <c r="DE8" i="42"/>
  <c r="DK7" i="42"/>
  <c r="DK6" i="42"/>
  <c r="DK5" i="42"/>
  <c r="DE18" i="42"/>
  <c r="DH11" i="42"/>
  <c r="DH9" i="42"/>
  <c r="DJ5" i="42"/>
  <c r="DJ15" i="42"/>
  <c r="DJ12" i="42"/>
  <c r="DH8" i="42"/>
  <c r="DL7" i="42"/>
  <c r="DF7" i="42"/>
  <c r="DF6" i="42"/>
  <c r="DF5" i="42"/>
  <c r="DL16" i="42"/>
  <c r="DK13" i="42"/>
  <c r="DE5" i="42"/>
  <c r="DH16" i="42"/>
  <c r="DJ14" i="42"/>
  <c r="DJ13" i="42"/>
  <c r="DK8" i="42"/>
  <c r="DH7" i="42"/>
  <c r="DJ6" i="42"/>
  <c r="CR9" i="42"/>
  <c r="AS9" i="42" s="1"/>
  <c r="AT9" i="42" s="1"/>
  <c r="CR8" i="42"/>
  <c r="DM18" i="42"/>
  <c r="DZ10" i="42" l="1"/>
  <c r="EJ10" i="42" s="1"/>
  <c r="AO10" i="42" s="1"/>
  <c r="AP10" i="42" s="1"/>
  <c r="DY10" i="42"/>
  <c r="AS5" i="45"/>
  <c r="E18" i="50" s="1"/>
  <c r="AS6" i="39"/>
  <c r="AT6" i="39" s="1"/>
  <c r="AS7" i="42"/>
  <c r="AT7" i="42" s="1"/>
  <c r="AS6" i="42"/>
  <c r="AT6" i="42" s="1"/>
  <c r="AS8" i="42"/>
  <c r="AT8" i="42" s="1"/>
  <c r="CR18" i="39"/>
  <c r="CR20" i="39"/>
  <c r="CR16" i="39"/>
  <c r="CR17" i="39"/>
  <c r="CR12" i="39"/>
  <c r="CR19" i="39"/>
  <c r="CR10" i="39"/>
  <c r="CR14" i="39"/>
  <c r="CR13" i="39"/>
  <c r="CR11" i="39"/>
  <c r="CR15" i="39"/>
  <c r="CR11" i="42"/>
  <c r="CR14" i="42"/>
  <c r="CR13" i="42"/>
  <c r="CR12" i="42"/>
  <c r="CR8" i="39"/>
  <c r="AF7" i="43"/>
  <c r="AF11" i="43"/>
  <c r="AF6" i="43"/>
  <c r="AF10" i="43"/>
  <c r="AF12" i="43"/>
  <c r="AF5" i="43"/>
  <c r="AF8" i="43"/>
  <c r="AT5" i="45" l="1"/>
  <c r="F18" i="50" s="1"/>
  <c r="EK10" i="42"/>
  <c r="EU10" i="42" s="1"/>
  <c r="AQ10" i="42" s="1"/>
  <c r="AR10" i="42" s="1"/>
  <c r="AS8" i="39"/>
  <c r="FB7" i="42"/>
  <c r="AT8" i="39" l="1"/>
  <c r="DD20" i="41" l="1"/>
  <c r="DD19" i="41"/>
  <c r="DD18" i="41"/>
  <c r="DD17" i="41"/>
  <c r="DD16" i="41"/>
  <c r="DD15" i="41"/>
  <c r="DD14" i="41"/>
  <c r="CF14" i="41"/>
  <c r="CE14" i="41"/>
  <c r="CD14" i="41"/>
  <c r="CG14" i="41" s="1"/>
  <c r="CB14" i="41"/>
  <c r="CA14" i="41"/>
  <c r="BZ14" i="41"/>
  <c r="BY14" i="41"/>
  <c r="CQ4" i="41" s="1"/>
  <c r="DB4" i="41" s="1"/>
  <c r="DN4" i="41" s="1"/>
  <c r="DX4" i="41" s="1"/>
  <c r="EI4" i="41" s="1"/>
  <c r="ET4" i="41" s="1"/>
  <c r="DD13" i="41"/>
  <c r="CF13" i="41"/>
  <c r="CE13" i="41"/>
  <c r="CD13" i="41"/>
  <c r="CG13" i="41" s="1"/>
  <c r="CB13" i="41"/>
  <c r="CA13" i="41"/>
  <c r="BZ13" i="41"/>
  <c r="BY13" i="41"/>
  <c r="CP4" i="41" s="1"/>
  <c r="DA4" i="41" s="1"/>
  <c r="DM4" i="41" s="1"/>
  <c r="DW4" i="41" s="1"/>
  <c r="EH4" i="41" s="1"/>
  <c r="ES4" i="41" s="1"/>
  <c r="DD12" i="41"/>
  <c r="CF12" i="41"/>
  <c r="CE12" i="41"/>
  <c r="CD12" i="41"/>
  <c r="CG12" i="41" s="1"/>
  <c r="CB12" i="41"/>
  <c r="CA12" i="41"/>
  <c r="BZ12" i="41"/>
  <c r="BY12" i="41"/>
  <c r="CO4" i="41" s="1"/>
  <c r="CZ4" i="41" s="1"/>
  <c r="DL4" i="41" s="1"/>
  <c r="DV4" i="41" s="1"/>
  <c r="EG4" i="41" s="1"/>
  <c r="ER4" i="41" s="1"/>
  <c r="DD11" i="41"/>
  <c r="CF11" i="41"/>
  <c r="CE11" i="41"/>
  <c r="CD11" i="41"/>
  <c r="CG11" i="41" s="1"/>
  <c r="CB11" i="41"/>
  <c r="CA11" i="41"/>
  <c r="BZ11" i="41"/>
  <c r="BY11" i="41"/>
  <c r="CN4" i="41" s="1"/>
  <c r="CY4" i="41" s="1"/>
  <c r="DK4" i="41" s="1"/>
  <c r="DU4" i="41" s="1"/>
  <c r="EF4" i="41" s="1"/>
  <c r="EQ4" i="41" s="1"/>
  <c r="DD10" i="41"/>
  <c r="CF10" i="41"/>
  <c r="CE10" i="41"/>
  <c r="CD10" i="41"/>
  <c r="CG10" i="41" s="1"/>
  <c r="CB10" i="41"/>
  <c r="CA10" i="41"/>
  <c r="BZ10" i="41"/>
  <c r="BY10" i="41"/>
  <c r="CM4" i="41" s="1"/>
  <c r="CX4" i="41" s="1"/>
  <c r="DJ4" i="41" s="1"/>
  <c r="DT4" i="41" s="1"/>
  <c r="EE4" i="41" s="1"/>
  <c r="EP4" i="41" s="1"/>
  <c r="DD9" i="41"/>
  <c r="CF9" i="41"/>
  <c r="CE9" i="41"/>
  <c r="CD9" i="41"/>
  <c r="CG9" i="41" s="1"/>
  <c r="CB9" i="41"/>
  <c r="CA9" i="41"/>
  <c r="BZ9" i="41"/>
  <c r="BY9" i="41"/>
  <c r="CL4" i="41" s="1"/>
  <c r="CW4" i="41" s="1"/>
  <c r="DI4" i="41" s="1"/>
  <c r="DS4" i="41" s="1"/>
  <c r="ED4" i="41" s="1"/>
  <c r="EO4" i="41" s="1"/>
  <c r="CF8" i="41"/>
  <c r="CE8" i="41"/>
  <c r="CD8" i="41"/>
  <c r="CG8" i="41" s="1"/>
  <c r="CB8" i="41"/>
  <c r="CA8" i="41"/>
  <c r="BZ8" i="41"/>
  <c r="BY8" i="41"/>
  <c r="CK4" i="41" s="1"/>
  <c r="CV4" i="41" s="1"/>
  <c r="DH4" i="41" s="1"/>
  <c r="DR4" i="41" s="1"/>
  <c r="EC4" i="41" s="1"/>
  <c r="EN4" i="41" s="1"/>
  <c r="DD8" i="41"/>
  <c r="EV7" i="41"/>
  <c r="CF7" i="41"/>
  <c r="CE7" i="41"/>
  <c r="CD7" i="41"/>
  <c r="CG7" i="41" s="1"/>
  <c r="CB7" i="41"/>
  <c r="CA7" i="41"/>
  <c r="BZ7" i="41"/>
  <c r="BY7" i="41"/>
  <c r="CJ4" i="41" s="1"/>
  <c r="CU4" i="41" s="1"/>
  <c r="DG4" i="41" s="1"/>
  <c r="DQ4" i="41" s="1"/>
  <c r="EB4" i="41" s="1"/>
  <c r="EM4" i="41" s="1"/>
  <c r="CF6" i="41"/>
  <c r="CE6" i="41"/>
  <c r="CD6" i="41"/>
  <c r="CG6" i="41" s="1"/>
  <c r="CB6" i="41"/>
  <c r="CA6" i="41"/>
  <c r="BZ6" i="41"/>
  <c r="BY6" i="41"/>
  <c r="CI4" i="41" s="1"/>
  <c r="CT4" i="41" s="1"/>
  <c r="DF4" i="41" s="1"/>
  <c r="DP4" i="41" s="1"/>
  <c r="EA4" i="41" s="1"/>
  <c r="EL4" i="41" s="1"/>
  <c r="DD6" i="41"/>
  <c r="EV5" i="41"/>
  <c r="CF5" i="41"/>
  <c r="CE5" i="41"/>
  <c r="CD5" i="41"/>
  <c r="CG5" i="41" s="1"/>
  <c r="CB5" i="41"/>
  <c r="CA5" i="41"/>
  <c r="BZ5" i="41"/>
  <c r="BY5" i="41"/>
  <c r="CH4" i="41" s="1"/>
  <c r="CS4" i="41" s="1"/>
  <c r="DE4" i="41" s="1"/>
  <c r="DO4" i="41" s="1"/>
  <c r="DZ4" i="41" s="1"/>
  <c r="EK4" i="41" s="1"/>
  <c r="BG5" i="41"/>
  <c r="AJ5" i="41"/>
  <c r="AI5" i="41"/>
  <c r="AF5" i="41"/>
  <c r="CC4" i="41"/>
  <c r="CB4" i="41"/>
  <c r="CA4" i="41"/>
  <c r="BZ4" i="41"/>
  <c r="EY46" i="2"/>
  <c r="EX46" i="2"/>
  <c r="EY32" i="2"/>
  <c r="EX32" i="2"/>
  <c r="EY31" i="2"/>
  <c r="EX31" i="2"/>
  <c r="EY24" i="2"/>
  <c r="EX24" i="2"/>
  <c r="EY23" i="2"/>
  <c r="EX23" i="2"/>
  <c r="EY22" i="2"/>
  <c r="EX22" i="2"/>
  <c r="EY21" i="2"/>
  <c r="EX21" i="2"/>
  <c r="EY20" i="2"/>
  <c r="EX20" i="2"/>
  <c r="EY19" i="2"/>
  <c r="EX19" i="2"/>
  <c r="EY18" i="2"/>
  <c r="EX18" i="2"/>
  <c r="CS12" i="55" l="1"/>
  <c r="DO12" i="55" s="1"/>
  <c r="DZ12" i="55" s="1"/>
  <c r="EK12" i="55" s="1"/>
  <c r="CT9" i="55"/>
  <c r="DP9" i="55" s="1"/>
  <c r="EA9" i="55" s="1"/>
  <c r="EL9" i="55" s="1"/>
  <c r="CR14" i="55"/>
  <c r="CR9" i="55"/>
  <c r="CT16" i="55"/>
  <c r="DP16" i="55" s="1"/>
  <c r="EA16" i="55" s="1"/>
  <c r="EL16" i="55" s="1"/>
  <c r="CT8" i="55"/>
  <c r="DP8" i="55" s="1"/>
  <c r="EA8" i="55" s="1"/>
  <c r="EL8" i="55" s="1"/>
  <c r="CS17" i="55"/>
  <c r="DO17" i="55" s="1"/>
  <c r="DZ17" i="55" s="1"/>
  <c r="EK17" i="55" s="1"/>
  <c r="CR16" i="55"/>
  <c r="CR13" i="55"/>
  <c r="CR7" i="55"/>
  <c r="CR18" i="55"/>
  <c r="CR11" i="55"/>
  <c r="CR12" i="55"/>
  <c r="CR20" i="55"/>
  <c r="CR19" i="55"/>
  <c r="CR10" i="55"/>
  <c r="CS16" i="55"/>
  <c r="DO16" i="55" s="1"/>
  <c r="DZ16" i="55" s="1"/>
  <c r="EK16" i="55" s="1"/>
  <c r="CR8" i="55"/>
  <c r="CR17" i="55"/>
  <c r="CR15" i="55"/>
  <c r="DA17" i="55"/>
  <c r="DW17" i="55" s="1"/>
  <c r="EH17" i="55" s="1"/>
  <c r="ES17" i="55" s="1"/>
  <c r="CY17" i="55"/>
  <c r="DU17" i="55" s="1"/>
  <c r="CV12" i="55"/>
  <c r="DR12" i="55" s="1"/>
  <c r="EC12" i="55" s="1"/>
  <c r="EN12" i="55" s="1"/>
  <c r="CS8" i="55"/>
  <c r="DO8" i="55" s="1"/>
  <c r="CU13" i="55"/>
  <c r="DQ13" i="55" s="1"/>
  <c r="EB13" i="55" s="1"/>
  <c r="EM13" i="55" s="1"/>
  <c r="CS18" i="55"/>
  <c r="DO18" i="55" s="1"/>
  <c r="DZ18" i="55" s="1"/>
  <c r="EK18" i="55" s="1"/>
  <c r="DA12" i="55"/>
  <c r="DW12" i="55" s="1"/>
  <c r="EH12" i="55" s="1"/>
  <c r="ES12" i="55" s="1"/>
  <c r="CY13" i="55"/>
  <c r="DU13" i="55" s="1"/>
  <c r="EF13" i="55" s="1"/>
  <c r="EQ13" i="55" s="1"/>
  <c r="CV7" i="55"/>
  <c r="DR7" i="55" s="1"/>
  <c r="EC7" i="55" s="1"/>
  <c r="EN7" i="55" s="1"/>
  <c r="CZ20" i="55"/>
  <c r="DV20" i="55" s="1"/>
  <c r="EG20" i="55" s="1"/>
  <c r="ER20" i="55" s="1"/>
  <c r="CZ8" i="55"/>
  <c r="DV8" i="55" s="1"/>
  <c r="EG8" i="55" s="1"/>
  <c r="ER8" i="55" s="1"/>
  <c r="CY20" i="55"/>
  <c r="DU20" i="55" s="1"/>
  <c r="EF20" i="55" s="1"/>
  <c r="EQ20" i="55" s="1"/>
  <c r="DA7" i="55"/>
  <c r="DW7" i="55" s="1"/>
  <c r="EH7" i="55" s="1"/>
  <c r="ES7" i="55" s="1"/>
  <c r="CW20" i="55"/>
  <c r="DS20" i="55" s="1"/>
  <c r="ED20" i="55" s="1"/>
  <c r="EO20" i="55" s="1"/>
  <c r="CT7" i="55"/>
  <c r="DP7" i="55" s="1"/>
  <c r="EA7" i="55" s="1"/>
  <c r="EL7" i="55" s="1"/>
  <c r="CW16" i="55"/>
  <c r="DS16" i="55" s="1"/>
  <c r="ED16" i="55" s="1"/>
  <c r="EO16" i="55" s="1"/>
  <c r="CW7" i="55"/>
  <c r="DS7" i="55" s="1"/>
  <c r="ED7" i="55" s="1"/>
  <c r="EO7" i="55" s="1"/>
  <c r="CZ11" i="55"/>
  <c r="DV11" i="55" s="1"/>
  <c r="EG11" i="55" s="1"/>
  <c r="ER11" i="55" s="1"/>
  <c r="CT12" i="55"/>
  <c r="DP12" i="55" s="1"/>
  <c r="EA12" i="55" s="1"/>
  <c r="EL12" i="55" s="1"/>
  <c r="CX8" i="55"/>
  <c r="DT8" i="55" s="1"/>
  <c r="EE8" i="55" s="1"/>
  <c r="EP8" i="55" s="1"/>
  <c r="CT15" i="55"/>
  <c r="DP15" i="55" s="1"/>
  <c r="EA15" i="55" s="1"/>
  <c r="EL15" i="55" s="1"/>
  <c r="CV15" i="55"/>
  <c r="DR15" i="55" s="1"/>
  <c r="EC15" i="55" s="1"/>
  <c r="EN15" i="55" s="1"/>
  <c r="CU14" i="55"/>
  <c r="DQ14" i="55" s="1"/>
  <c r="EB14" i="55" s="1"/>
  <c r="EM14" i="55" s="1"/>
  <c r="CV10" i="55"/>
  <c r="DR10" i="55" s="1"/>
  <c r="EC10" i="55" s="1"/>
  <c r="EN10" i="55" s="1"/>
  <c r="CY16" i="55"/>
  <c r="DU16" i="55" s="1"/>
  <c r="EF16" i="55" s="1"/>
  <c r="EQ16" i="55" s="1"/>
  <c r="CS9" i="55"/>
  <c r="DO9" i="55" s="1"/>
  <c r="DZ9" i="55" s="1"/>
  <c r="EK9" i="55" s="1"/>
  <c r="DA20" i="55"/>
  <c r="DW20" i="55" s="1"/>
  <c r="EH20" i="55" s="1"/>
  <c r="ES20" i="55" s="1"/>
  <c r="CZ19" i="55"/>
  <c r="DV19" i="55" s="1"/>
  <c r="EG19" i="55" s="1"/>
  <c r="ER19" i="55" s="1"/>
  <c r="DA16" i="55"/>
  <c r="DW16" i="55" s="1"/>
  <c r="EH16" i="55" s="1"/>
  <c r="ES16" i="55" s="1"/>
  <c r="CU10" i="55"/>
  <c r="DQ10" i="55" s="1"/>
  <c r="EB10" i="55" s="1"/>
  <c r="EM10" i="55" s="1"/>
  <c r="CW10" i="55"/>
  <c r="DS10" i="55" s="1"/>
  <c r="ED10" i="55" s="1"/>
  <c r="EO10" i="55" s="1"/>
  <c r="CX16" i="55"/>
  <c r="DT16" i="55" s="1"/>
  <c r="EE16" i="55" s="1"/>
  <c r="EP16" i="55" s="1"/>
  <c r="CU15" i="55"/>
  <c r="DQ15" i="55" s="1"/>
  <c r="EB15" i="55" s="1"/>
  <c r="EM15" i="55" s="1"/>
  <c r="CV20" i="55"/>
  <c r="DR20" i="55" s="1"/>
  <c r="EC20" i="55" s="1"/>
  <c r="EN20" i="55" s="1"/>
  <c r="CX11" i="55"/>
  <c r="DT11" i="55" s="1"/>
  <c r="EE11" i="55" s="1"/>
  <c r="EP11" i="55" s="1"/>
  <c r="CY19" i="55"/>
  <c r="DU19" i="55" s="1"/>
  <c r="EF19" i="55" s="1"/>
  <c r="EQ19" i="55" s="1"/>
  <c r="CY10" i="55"/>
  <c r="DU10" i="55" s="1"/>
  <c r="EF10" i="55" s="1"/>
  <c r="EQ10" i="55" s="1"/>
  <c r="CX20" i="55"/>
  <c r="DT20" i="55" s="1"/>
  <c r="EE20" i="55" s="1"/>
  <c r="EP20" i="55" s="1"/>
  <c r="CV18" i="55"/>
  <c r="DR18" i="55" s="1"/>
  <c r="EC18" i="55" s="1"/>
  <c r="EN18" i="55" s="1"/>
  <c r="CW8" i="55"/>
  <c r="DS8" i="55" s="1"/>
  <c r="ED8" i="55" s="1"/>
  <c r="EO8" i="55" s="1"/>
  <c r="DA15" i="55"/>
  <c r="DW15" i="55" s="1"/>
  <c r="EH15" i="55" s="1"/>
  <c r="ES15" i="55" s="1"/>
  <c r="CU8" i="55"/>
  <c r="DQ8" i="55" s="1"/>
  <c r="EB8" i="55" s="1"/>
  <c r="EM8" i="55" s="1"/>
  <c r="CW13" i="55"/>
  <c r="DS13" i="55" s="1"/>
  <c r="ED13" i="55" s="1"/>
  <c r="EO13" i="55" s="1"/>
  <c r="CT13" i="55"/>
  <c r="DP13" i="55" s="1"/>
  <c r="EA13" i="55" s="1"/>
  <c r="EL13" i="55" s="1"/>
  <c r="CX10" i="55"/>
  <c r="DT10" i="55" s="1"/>
  <c r="EE10" i="55" s="1"/>
  <c r="EP10" i="55" s="1"/>
  <c r="CX17" i="55"/>
  <c r="DT17" i="55" s="1"/>
  <c r="EE17" i="55" s="1"/>
  <c r="EP17" i="55" s="1"/>
  <c r="CT18" i="55"/>
  <c r="DP18" i="55" s="1"/>
  <c r="EA18" i="55" s="1"/>
  <c r="EL18" i="55" s="1"/>
  <c r="CY9" i="55"/>
  <c r="DU9" i="55" s="1"/>
  <c r="EF9" i="55" s="1"/>
  <c r="EQ9" i="55" s="1"/>
  <c r="CW19" i="55"/>
  <c r="DS19" i="55" s="1"/>
  <c r="ED19" i="55" s="1"/>
  <c r="EO19" i="55" s="1"/>
  <c r="CU9" i="55"/>
  <c r="DQ9" i="55" s="1"/>
  <c r="EB9" i="55" s="1"/>
  <c r="EM9" i="55" s="1"/>
  <c r="CT10" i="55"/>
  <c r="DP10" i="55" s="1"/>
  <c r="EA10" i="55" s="1"/>
  <c r="EL10" i="55" s="1"/>
  <c r="CZ7" i="55"/>
  <c r="DV7" i="55" s="1"/>
  <c r="EG7" i="55" s="1"/>
  <c r="ER7" i="55" s="1"/>
  <c r="CX12" i="55"/>
  <c r="DT12" i="55" s="1"/>
  <c r="EE12" i="55" s="1"/>
  <c r="EP12" i="55" s="1"/>
  <c r="CT17" i="55"/>
  <c r="DP17" i="55" s="1"/>
  <c r="EA17" i="55" s="1"/>
  <c r="EL17" i="55" s="1"/>
  <c r="CV9" i="55"/>
  <c r="DR9" i="55" s="1"/>
  <c r="EC9" i="55" s="1"/>
  <c r="EN9" i="55" s="1"/>
  <c r="CT20" i="55"/>
  <c r="DP20" i="55" s="1"/>
  <c r="CV13" i="55"/>
  <c r="DR13" i="55" s="1"/>
  <c r="EC13" i="55" s="1"/>
  <c r="EN13" i="55" s="1"/>
  <c r="CX9" i="55"/>
  <c r="DT9" i="55" s="1"/>
  <c r="EE9" i="55" s="1"/>
  <c r="EP9" i="55" s="1"/>
  <c r="CV19" i="55"/>
  <c r="DR19" i="55" s="1"/>
  <c r="EC19" i="55" s="1"/>
  <c r="EN19" i="55" s="1"/>
  <c r="CV8" i="55"/>
  <c r="DR8" i="55" s="1"/>
  <c r="EC8" i="55" s="1"/>
  <c r="EN8" i="55" s="1"/>
  <c r="CT11" i="55"/>
  <c r="DP11" i="55" s="1"/>
  <c r="EA11" i="55" s="1"/>
  <c r="EL11" i="55" s="1"/>
  <c r="CZ13" i="55"/>
  <c r="DV13" i="55" s="1"/>
  <c r="EG13" i="55" s="1"/>
  <c r="ER13" i="55" s="1"/>
  <c r="CY12" i="55"/>
  <c r="DU12" i="55" s="1"/>
  <c r="EF12" i="55" s="1"/>
  <c r="EQ12" i="55" s="1"/>
  <c r="CW15" i="55"/>
  <c r="DS15" i="55" s="1"/>
  <c r="CW11" i="55"/>
  <c r="DS11" i="55" s="1"/>
  <c r="ED11" i="55" s="1"/>
  <c r="EO11" i="55" s="1"/>
  <c r="CY14" i="55"/>
  <c r="DU14" i="55" s="1"/>
  <c r="EF14" i="55" s="1"/>
  <c r="EQ14" i="55" s="1"/>
  <c r="CS11" i="55"/>
  <c r="DO11" i="55" s="1"/>
  <c r="DZ11" i="55" s="1"/>
  <c r="EK11" i="55" s="1"/>
  <c r="CX19" i="55"/>
  <c r="DT19" i="55" s="1"/>
  <c r="EE19" i="55" s="1"/>
  <c r="EP19" i="55" s="1"/>
  <c r="CV17" i="55"/>
  <c r="DR17" i="55" s="1"/>
  <c r="EC17" i="55" s="1"/>
  <c r="EN17" i="55" s="1"/>
  <c r="CY8" i="55"/>
  <c r="DU8" i="55" s="1"/>
  <c r="EF8" i="55" s="1"/>
  <c r="EQ8" i="55" s="1"/>
  <c r="CY15" i="55"/>
  <c r="DU15" i="55" s="1"/>
  <c r="EF15" i="55" s="1"/>
  <c r="EQ15" i="55" s="1"/>
  <c r="CS15" i="55"/>
  <c r="DO15" i="55" s="1"/>
  <c r="CV11" i="55"/>
  <c r="DR11" i="55" s="1"/>
  <c r="EC11" i="55" s="1"/>
  <c r="EN11" i="55" s="1"/>
  <c r="CS13" i="55"/>
  <c r="DO13" i="55" s="1"/>
  <c r="DZ13" i="55" s="1"/>
  <c r="EK13" i="55" s="1"/>
  <c r="DA10" i="55"/>
  <c r="DW10" i="55" s="1"/>
  <c r="EH10" i="55" s="1"/>
  <c r="ES10" i="55" s="1"/>
  <c r="CX15" i="55"/>
  <c r="DT15" i="55" s="1"/>
  <c r="EE15" i="55" s="1"/>
  <c r="EP15" i="55" s="1"/>
  <c r="CX18" i="55"/>
  <c r="DT18" i="55" s="1"/>
  <c r="EE18" i="55" s="1"/>
  <c r="EP18" i="55" s="1"/>
  <c r="CU12" i="55"/>
  <c r="DQ12" i="55" s="1"/>
  <c r="EB12" i="55" s="1"/>
  <c r="EM12" i="55" s="1"/>
  <c r="CW18" i="55"/>
  <c r="DS18" i="55" s="1"/>
  <c r="ED18" i="55" s="1"/>
  <c r="EO18" i="55" s="1"/>
  <c r="CZ12" i="55"/>
  <c r="DV12" i="55" s="1"/>
  <c r="EG12" i="55" s="1"/>
  <c r="ER12" i="55" s="1"/>
  <c r="CZ18" i="55"/>
  <c r="DV18" i="55" s="1"/>
  <c r="EG18" i="55" s="1"/>
  <c r="ER18" i="55" s="1"/>
  <c r="DA8" i="55"/>
  <c r="DW8" i="55" s="1"/>
  <c r="EH8" i="55" s="1"/>
  <c r="ES8" i="55" s="1"/>
  <c r="CZ16" i="55"/>
  <c r="DV16" i="55" s="1"/>
  <c r="EG16" i="55" s="1"/>
  <c r="ER16" i="55" s="1"/>
  <c r="CW12" i="55"/>
  <c r="DS12" i="55" s="1"/>
  <c r="ED12" i="55" s="1"/>
  <c r="EO12" i="55" s="1"/>
  <c r="DA19" i="55"/>
  <c r="DW19" i="55" s="1"/>
  <c r="EH19" i="55" s="1"/>
  <c r="ES19" i="55" s="1"/>
  <c r="CY7" i="55"/>
  <c r="DU7" i="55" s="1"/>
  <c r="EF7" i="55" s="1"/>
  <c r="EQ7" i="55" s="1"/>
  <c r="CS20" i="55"/>
  <c r="DO20" i="55" s="1"/>
  <c r="DZ20" i="55" s="1"/>
  <c r="EK20" i="55" s="1"/>
  <c r="CW17" i="55"/>
  <c r="DS17" i="55" s="1"/>
  <c r="ED17" i="55" s="1"/>
  <c r="EO17" i="55" s="1"/>
  <c r="CS19" i="55"/>
  <c r="DO19" i="55" s="1"/>
  <c r="DZ19" i="55" s="1"/>
  <c r="EK19" i="55" s="1"/>
  <c r="CU18" i="55"/>
  <c r="DQ18" i="55" s="1"/>
  <c r="EB18" i="55" s="1"/>
  <c r="EM18" i="55" s="1"/>
  <c r="CT14" i="55"/>
  <c r="DP14" i="55" s="1"/>
  <c r="EA14" i="55" s="1"/>
  <c r="EL14" i="55" s="1"/>
  <c r="DA14" i="55"/>
  <c r="DW14" i="55" s="1"/>
  <c r="EH14" i="55" s="1"/>
  <c r="ES14" i="55" s="1"/>
  <c r="CT19" i="55"/>
  <c r="DP19" i="55" s="1"/>
  <c r="EA19" i="55" s="1"/>
  <c r="EL19" i="55" s="1"/>
  <c r="CV14" i="55"/>
  <c r="DR14" i="55" s="1"/>
  <c r="EC14" i="55" s="1"/>
  <c r="EN14" i="55" s="1"/>
  <c r="DA11" i="55"/>
  <c r="DW11" i="55" s="1"/>
  <c r="EH11" i="55" s="1"/>
  <c r="ES11" i="55" s="1"/>
  <c r="CX13" i="55"/>
  <c r="DT13" i="55" s="1"/>
  <c r="EE13" i="55" s="1"/>
  <c r="EP13" i="55" s="1"/>
  <c r="CZ9" i="55"/>
  <c r="DV9" i="55" s="1"/>
  <c r="EG9" i="55" s="1"/>
  <c r="ER9" i="55" s="1"/>
  <c r="CX14" i="55"/>
  <c r="DT14" i="55" s="1"/>
  <c r="EE14" i="55" s="1"/>
  <c r="EP14" i="55" s="1"/>
  <c r="CS10" i="55"/>
  <c r="DO10" i="55" s="1"/>
  <c r="DZ10" i="55" s="1"/>
  <c r="EK10" i="55" s="1"/>
  <c r="CY11" i="55"/>
  <c r="DU11" i="55" s="1"/>
  <c r="EF11" i="55" s="1"/>
  <c r="EQ11" i="55" s="1"/>
  <c r="CS7" i="55"/>
  <c r="DO7" i="55" s="1"/>
  <c r="DZ7" i="55" s="1"/>
  <c r="EK7" i="55" s="1"/>
  <c r="CU11" i="55"/>
  <c r="DQ11" i="55" s="1"/>
  <c r="CU20" i="55"/>
  <c r="DQ20" i="55" s="1"/>
  <c r="EB20" i="55" s="1"/>
  <c r="EM20" i="55" s="1"/>
  <c r="CZ14" i="55"/>
  <c r="DV14" i="55" s="1"/>
  <c r="EG14" i="55" s="1"/>
  <c r="ER14" i="55" s="1"/>
  <c r="CY18" i="55"/>
  <c r="DU18" i="55" s="1"/>
  <c r="EF18" i="55" s="1"/>
  <c r="EQ18" i="55" s="1"/>
  <c r="CW9" i="55"/>
  <c r="DS9" i="55" s="1"/>
  <c r="ED9" i="55" s="1"/>
  <c r="EO9" i="55" s="1"/>
  <c r="DA13" i="55"/>
  <c r="DW13" i="55" s="1"/>
  <c r="EH13" i="55" s="1"/>
  <c r="ES13" i="55" s="1"/>
  <c r="CU16" i="55"/>
  <c r="DQ16" i="55" s="1"/>
  <c r="EB16" i="55" s="1"/>
  <c r="EM16" i="55" s="1"/>
  <c r="CZ15" i="55"/>
  <c r="DV15" i="55" s="1"/>
  <c r="EG15" i="55" s="1"/>
  <c r="ER15" i="55" s="1"/>
  <c r="CW14" i="55"/>
  <c r="DS14" i="55" s="1"/>
  <c r="ED14" i="55" s="1"/>
  <c r="EO14" i="55" s="1"/>
  <c r="CZ17" i="55"/>
  <c r="DV17" i="55" s="1"/>
  <c r="EG17" i="55" s="1"/>
  <c r="ER17" i="55" s="1"/>
  <c r="CZ10" i="55"/>
  <c r="DV10" i="55" s="1"/>
  <c r="EG10" i="55" s="1"/>
  <c r="ER10" i="55" s="1"/>
  <c r="CU19" i="55"/>
  <c r="DQ19" i="55" s="1"/>
  <c r="EB19" i="55" s="1"/>
  <c r="EM19" i="55" s="1"/>
  <c r="DA9" i="55"/>
  <c r="DW9" i="55" s="1"/>
  <c r="EH9" i="55" s="1"/>
  <c r="ES9" i="55" s="1"/>
  <c r="DA18" i="55"/>
  <c r="DW18" i="55" s="1"/>
  <c r="EH18" i="55" s="1"/>
  <c r="ES18" i="55" s="1"/>
  <c r="CX7" i="55"/>
  <c r="DT7" i="55" s="1"/>
  <c r="EE7" i="55" s="1"/>
  <c r="EP7" i="55" s="1"/>
  <c r="CU17" i="55"/>
  <c r="DQ17" i="55" s="1"/>
  <c r="EB17" i="55" s="1"/>
  <c r="EM17" i="55" s="1"/>
  <c r="CU7" i="55"/>
  <c r="DQ7" i="55" s="1"/>
  <c r="EB7" i="55" s="1"/>
  <c r="EM7" i="55" s="1"/>
  <c r="CS14" i="55"/>
  <c r="DO14" i="55" s="1"/>
  <c r="DZ14" i="55" s="1"/>
  <c r="EK14" i="55" s="1"/>
  <c r="CV16" i="55"/>
  <c r="DR16" i="55" s="1"/>
  <c r="EC16" i="55" s="1"/>
  <c r="EN16" i="55" s="1"/>
  <c r="CS18" i="42"/>
  <c r="CS15" i="43"/>
  <c r="DO15" i="43" s="1"/>
  <c r="CX11" i="39"/>
  <c r="DT11" i="39" s="1"/>
  <c r="EE11" i="39" s="1"/>
  <c r="EP11" i="39" s="1"/>
  <c r="CS15" i="45"/>
  <c r="CS14" i="45"/>
  <c r="CS16" i="39"/>
  <c r="CS14" i="39"/>
  <c r="CS13" i="45"/>
  <c r="CS17" i="45"/>
  <c r="CS9" i="45"/>
  <c r="CS16" i="43"/>
  <c r="CS13" i="39"/>
  <c r="CS14" i="42"/>
  <c r="CZ14" i="43"/>
  <c r="DV14" i="43" s="1"/>
  <c r="EG14" i="43" s="1"/>
  <c r="ER14" i="43" s="1"/>
  <c r="CX10" i="45"/>
  <c r="DT10" i="45" s="1"/>
  <c r="EE10" i="45" s="1"/>
  <c r="EP10" i="45" s="1"/>
  <c r="CU8" i="45"/>
  <c r="DQ8" i="45" s="1"/>
  <c r="EB8" i="45" s="1"/>
  <c r="EM8" i="45" s="1"/>
  <c r="CS17" i="42"/>
  <c r="DB9" i="39"/>
  <c r="DX9" i="39" s="1"/>
  <c r="EI9" i="39" s="1"/>
  <c r="ET9" i="39" s="1"/>
  <c r="CS10" i="45"/>
  <c r="CS15" i="39"/>
  <c r="CS12" i="39"/>
  <c r="CS18" i="45"/>
  <c r="CS17" i="43"/>
  <c r="CS20" i="39"/>
  <c r="CS18" i="39"/>
  <c r="CS11" i="42"/>
  <c r="CS12" i="42"/>
  <c r="CS9" i="39"/>
  <c r="CS17" i="39"/>
  <c r="CS8" i="45"/>
  <c r="CS10" i="39"/>
  <c r="CS11" i="45"/>
  <c r="CS12" i="45"/>
  <c r="CS7" i="45"/>
  <c r="CS16" i="45"/>
  <c r="CS14" i="43"/>
  <c r="CS11" i="39"/>
  <c r="CS19" i="39"/>
  <c r="CS15" i="42"/>
  <c r="CS13" i="42"/>
  <c r="CS16" i="42"/>
  <c r="DA16" i="42"/>
  <c r="DW16" i="42" s="1"/>
  <c r="EH16" i="42" s="1"/>
  <c r="ES16" i="42" s="1"/>
  <c r="CY18" i="42"/>
  <c r="DU18" i="42" s="1"/>
  <c r="EF18" i="42" s="1"/>
  <c r="EQ18" i="42" s="1"/>
  <c r="CX18" i="42"/>
  <c r="DT18" i="42" s="1"/>
  <c r="EE18" i="42" s="1"/>
  <c r="EP18" i="42" s="1"/>
  <c r="CV17" i="39"/>
  <c r="DR17" i="39" s="1"/>
  <c r="EC17" i="39" s="1"/>
  <c r="EN17" i="39" s="1"/>
  <c r="DA13" i="42"/>
  <c r="DW13" i="42" s="1"/>
  <c r="EH13" i="42" s="1"/>
  <c r="ES13" i="42" s="1"/>
  <c r="CZ11" i="42"/>
  <c r="DV11" i="42" s="1"/>
  <c r="EG11" i="42" s="1"/>
  <c r="ER11" i="42" s="1"/>
  <c r="CW14" i="42"/>
  <c r="DS14" i="42" s="1"/>
  <c r="ED14" i="42" s="1"/>
  <c r="EO14" i="42" s="1"/>
  <c r="CU18" i="42"/>
  <c r="DQ18" i="42" s="1"/>
  <c r="EB18" i="42" s="1"/>
  <c r="EM18" i="42" s="1"/>
  <c r="CV12" i="39"/>
  <c r="DR12" i="39" s="1"/>
  <c r="EC12" i="39" s="1"/>
  <c r="EN12" i="39" s="1"/>
  <c r="DA12" i="42"/>
  <c r="DW12" i="42" s="1"/>
  <c r="EH12" i="42" s="1"/>
  <c r="ES12" i="42" s="1"/>
  <c r="CY17" i="42"/>
  <c r="DU17" i="42" s="1"/>
  <c r="EF17" i="42" s="1"/>
  <c r="EQ17" i="42" s="1"/>
  <c r="CX15" i="42"/>
  <c r="DT15" i="42" s="1"/>
  <c r="EE15" i="42" s="1"/>
  <c r="EP15" i="42" s="1"/>
  <c r="CX13" i="42"/>
  <c r="DT13" i="42" s="1"/>
  <c r="EE13" i="42" s="1"/>
  <c r="EP13" i="42" s="1"/>
  <c r="DA14" i="39"/>
  <c r="DW14" i="39" s="1"/>
  <c r="EH14" i="39" s="1"/>
  <c r="ES14" i="39" s="1"/>
  <c r="CT18" i="42"/>
  <c r="DP18" i="42" s="1"/>
  <c r="EA18" i="42" s="1"/>
  <c r="EL18" i="42" s="1"/>
  <c r="CU14" i="42"/>
  <c r="DQ14" i="42" s="1"/>
  <c r="EB14" i="42" s="1"/>
  <c r="EM14" i="42" s="1"/>
  <c r="CU16" i="42"/>
  <c r="DQ16" i="42" s="1"/>
  <c r="EB16" i="42" s="1"/>
  <c r="EM16" i="42" s="1"/>
  <c r="CV15" i="42"/>
  <c r="DR15" i="42" s="1"/>
  <c r="EC15" i="42" s="1"/>
  <c r="EN15" i="42" s="1"/>
  <c r="CY20" i="39"/>
  <c r="DU20" i="39" s="1"/>
  <c r="EF20" i="39" s="1"/>
  <c r="EQ20" i="39" s="1"/>
  <c r="CT13" i="39"/>
  <c r="DP13" i="39" s="1"/>
  <c r="EA13" i="39" s="1"/>
  <c r="EL13" i="39" s="1"/>
  <c r="CY17" i="39"/>
  <c r="DU17" i="39" s="1"/>
  <c r="EF17" i="39" s="1"/>
  <c r="EQ17" i="39" s="1"/>
  <c r="CZ20" i="39"/>
  <c r="DV20" i="39" s="1"/>
  <c r="EG20" i="39" s="1"/>
  <c r="ER20" i="39" s="1"/>
  <c r="CZ13" i="39"/>
  <c r="DV13" i="39" s="1"/>
  <c r="EG13" i="39" s="1"/>
  <c r="ER13" i="39" s="1"/>
  <c r="CW17" i="43"/>
  <c r="DS17" i="43" s="1"/>
  <c r="ED17" i="43" s="1"/>
  <c r="EO17" i="43" s="1"/>
  <c r="DB16" i="45"/>
  <c r="DX16" i="45" s="1"/>
  <c r="EI16" i="45" s="1"/>
  <c r="ET16" i="45" s="1"/>
  <c r="CX12" i="45"/>
  <c r="DT12" i="45" s="1"/>
  <c r="EE12" i="45" s="1"/>
  <c r="EP12" i="45" s="1"/>
  <c r="DA15" i="45"/>
  <c r="DW15" i="45" s="1"/>
  <c r="EH15" i="45" s="1"/>
  <c r="ES15" i="45" s="1"/>
  <c r="CX13" i="45"/>
  <c r="DT13" i="45" s="1"/>
  <c r="EE13" i="45" s="1"/>
  <c r="EP13" i="45" s="1"/>
  <c r="CU17" i="42"/>
  <c r="DQ17" i="42" s="1"/>
  <c r="EB17" i="42" s="1"/>
  <c r="EM17" i="42" s="1"/>
  <c r="CW15" i="43"/>
  <c r="DS15" i="43" s="1"/>
  <c r="ED15" i="43" s="1"/>
  <c r="EO15" i="43" s="1"/>
  <c r="CW8" i="45"/>
  <c r="DS8" i="45" s="1"/>
  <c r="ED8" i="45" s="1"/>
  <c r="EO8" i="45" s="1"/>
  <c r="DB10" i="45"/>
  <c r="DX10" i="45" s="1"/>
  <c r="EI10" i="45" s="1"/>
  <c r="ET10" i="45" s="1"/>
  <c r="CW10" i="39"/>
  <c r="DS10" i="39" s="1"/>
  <c r="ED10" i="39" s="1"/>
  <c r="EO10" i="39" s="1"/>
  <c r="CV11" i="39"/>
  <c r="DR11" i="39" s="1"/>
  <c r="EC11" i="39" s="1"/>
  <c r="EN11" i="39" s="1"/>
  <c r="CT17" i="43"/>
  <c r="DP17" i="43" s="1"/>
  <c r="EA17" i="43" s="1"/>
  <c r="EL17" i="43" s="1"/>
  <c r="DB19" i="39"/>
  <c r="DX19" i="39" s="1"/>
  <c r="EI19" i="39" s="1"/>
  <c r="ET19" i="39" s="1"/>
  <c r="CV19" i="39"/>
  <c r="DR19" i="39" s="1"/>
  <c r="EC19" i="39" s="1"/>
  <c r="EN19" i="39" s="1"/>
  <c r="CZ11" i="39"/>
  <c r="DV11" i="39" s="1"/>
  <c r="EG11" i="39" s="1"/>
  <c r="ER11" i="39" s="1"/>
  <c r="CT16" i="43"/>
  <c r="DP16" i="43" s="1"/>
  <c r="EA16" i="43" s="1"/>
  <c r="EL16" i="43" s="1"/>
  <c r="CY13" i="45"/>
  <c r="DU13" i="45" s="1"/>
  <c r="EF13" i="45" s="1"/>
  <c r="EQ13" i="45" s="1"/>
  <c r="CX18" i="45"/>
  <c r="DT18" i="45" s="1"/>
  <c r="EE18" i="45" s="1"/>
  <c r="EP18" i="45" s="1"/>
  <c r="CZ12" i="45"/>
  <c r="DV12" i="45" s="1"/>
  <c r="EG12" i="45" s="1"/>
  <c r="ER12" i="45" s="1"/>
  <c r="CX17" i="45"/>
  <c r="DT17" i="45" s="1"/>
  <c r="EE17" i="45" s="1"/>
  <c r="EP17" i="45" s="1"/>
  <c r="DA7" i="45"/>
  <c r="DW7" i="45" s="1"/>
  <c r="EH7" i="45" s="1"/>
  <c r="ES7" i="45" s="1"/>
  <c r="CV10" i="45"/>
  <c r="DR10" i="45" s="1"/>
  <c r="EC10" i="45" s="1"/>
  <c r="EN10" i="45" s="1"/>
  <c r="DB13" i="45"/>
  <c r="DX13" i="45" s="1"/>
  <c r="EI13" i="45" s="1"/>
  <c r="ET13" i="45" s="1"/>
  <c r="CZ9" i="39"/>
  <c r="DV9" i="39" s="1"/>
  <c r="EG9" i="39" s="1"/>
  <c r="ER9" i="39" s="1"/>
  <c r="CV20" i="39"/>
  <c r="DR20" i="39" s="1"/>
  <c r="EC20" i="39" s="1"/>
  <c r="EN20" i="39" s="1"/>
  <c r="CW16" i="39"/>
  <c r="DS16" i="39" s="1"/>
  <c r="ED16" i="39" s="1"/>
  <c r="EO16" i="39" s="1"/>
  <c r="DA17" i="43"/>
  <c r="DW17" i="43" s="1"/>
  <c r="EH17" i="43" s="1"/>
  <c r="ES17" i="43" s="1"/>
  <c r="CW19" i="39"/>
  <c r="DS19" i="39" s="1"/>
  <c r="ED19" i="39" s="1"/>
  <c r="EO19" i="39" s="1"/>
  <c r="CZ10" i="39"/>
  <c r="DV10" i="39" s="1"/>
  <c r="EG10" i="39" s="1"/>
  <c r="ER10" i="39" s="1"/>
  <c r="CX14" i="39"/>
  <c r="DT14" i="39" s="1"/>
  <c r="EE14" i="39" s="1"/>
  <c r="EP14" i="39" s="1"/>
  <c r="CY16" i="43"/>
  <c r="DU16" i="43" s="1"/>
  <c r="EF16" i="43" s="1"/>
  <c r="EQ16" i="43" s="1"/>
  <c r="CY11" i="45"/>
  <c r="DU11" i="45" s="1"/>
  <c r="EF11" i="45" s="1"/>
  <c r="EQ11" i="45" s="1"/>
  <c r="CZ11" i="45"/>
  <c r="DV11" i="45" s="1"/>
  <c r="EG11" i="45" s="1"/>
  <c r="ER11" i="45" s="1"/>
  <c r="CX11" i="45"/>
  <c r="DT11" i="45" s="1"/>
  <c r="EE11" i="45" s="1"/>
  <c r="EP11" i="45" s="1"/>
  <c r="CT11" i="45"/>
  <c r="DP11" i="45" s="1"/>
  <c r="EA11" i="45" s="1"/>
  <c r="EL11" i="45" s="1"/>
  <c r="CX17" i="43"/>
  <c r="DT17" i="43" s="1"/>
  <c r="EE17" i="43" s="1"/>
  <c r="EP17" i="43" s="1"/>
  <c r="CX8" i="45"/>
  <c r="DT8" i="45" s="1"/>
  <c r="EE8" i="45" s="1"/>
  <c r="EP8" i="45" s="1"/>
  <c r="CW9" i="45"/>
  <c r="DS9" i="45" s="1"/>
  <c r="ED9" i="45" s="1"/>
  <c r="EO9" i="45" s="1"/>
  <c r="CX13" i="39"/>
  <c r="DT13" i="39" s="1"/>
  <c r="EE13" i="39" s="1"/>
  <c r="EP13" i="39" s="1"/>
  <c r="CV14" i="39"/>
  <c r="DR14" i="39" s="1"/>
  <c r="EC14" i="39" s="1"/>
  <c r="EN14" i="39" s="1"/>
  <c r="DA10" i="39"/>
  <c r="DW10" i="39" s="1"/>
  <c r="EH10" i="39" s="1"/>
  <c r="ES10" i="39" s="1"/>
  <c r="CZ14" i="42"/>
  <c r="DV14" i="42" s="1"/>
  <c r="EG14" i="42" s="1"/>
  <c r="ER14" i="42" s="1"/>
  <c r="CV11" i="42"/>
  <c r="DR11" i="42" s="1"/>
  <c r="EC11" i="42" s="1"/>
  <c r="EN11" i="42" s="1"/>
  <c r="CZ19" i="39"/>
  <c r="DV19" i="39" s="1"/>
  <c r="EG19" i="39" s="1"/>
  <c r="ER19" i="39" s="1"/>
  <c r="CZ12" i="39"/>
  <c r="DV12" i="39" s="1"/>
  <c r="EG12" i="39" s="1"/>
  <c r="ER12" i="39" s="1"/>
  <c r="CX12" i="39"/>
  <c r="DT12" i="39" s="1"/>
  <c r="EE12" i="39" s="1"/>
  <c r="EP12" i="39" s="1"/>
  <c r="CZ18" i="39"/>
  <c r="DV18" i="39" s="1"/>
  <c r="EG18" i="39" s="1"/>
  <c r="ER18" i="39" s="1"/>
  <c r="CU16" i="43"/>
  <c r="DQ16" i="43" s="1"/>
  <c r="EB16" i="43" s="1"/>
  <c r="EM16" i="43" s="1"/>
  <c r="DA11" i="45"/>
  <c r="DW11" i="45" s="1"/>
  <c r="EH11" i="45" s="1"/>
  <c r="ES11" i="45" s="1"/>
  <c r="CT18" i="45"/>
  <c r="DP18" i="45" s="1"/>
  <c r="EA18" i="45" s="1"/>
  <c r="EL18" i="45" s="1"/>
  <c r="CV13" i="45"/>
  <c r="DR13" i="45" s="1"/>
  <c r="EC13" i="45" s="1"/>
  <c r="EN13" i="45" s="1"/>
  <c r="CZ14" i="45"/>
  <c r="DV14" i="45" s="1"/>
  <c r="EG14" i="45" s="1"/>
  <c r="ER14" i="45" s="1"/>
  <c r="CX14" i="43"/>
  <c r="DT14" i="43" s="1"/>
  <c r="EE14" i="43" s="1"/>
  <c r="EP14" i="43" s="1"/>
  <c r="CV12" i="45"/>
  <c r="DR12" i="45" s="1"/>
  <c r="EC12" i="45" s="1"/>
  <c r="EN12" i="45" s="1"/>
  <c r="CT7" i="45"/>
  <c r="DP7" i="45" s="1"/>
  <c r="EA7" i="45" s="1"/>
  <c r="EL7" i="45" s="1"/>
  <c r="CT15" i="39"/>
  <c r="DP15" i="39" s="1"/>
  <c r="EA15" i="39" s="1"/>
  <c r="EL15" i="39" s="1"/>
  <c r="CT17" i="39"/>
  <c r="DP17" i="39" s="1"/>
  <c r="EA17" i="39" s="1"/>
  <c r="EL17" i="39" s="1"/>
  <c r="CZ12" i="42"/>
  <c r="DV12" i="42" s="1"/>
  <c r="EG12" i="42" s="1"/>
  <c r="ER12" i="42" s="1"/>
  <c r="CZ16" i="42"/>
  <c r="DV16" i="42" s="1"/>
  <c r="EG16" i="42" s="1"/>
  <c r="ER16" i="42" s="1"/>
  <c r="DA14" i="42"/>
  <c r="DW14" i="42" s="1"/>
  <c r="EH14" i="42" s="1"/>
  <c r="ES14" i="42" s="1"/>
  <c r="DB14" i="42"/>
  <c r="DX14" i="42" s="1"/>
  <c r="EI14" i="42" s="1"/>
  <c r="ET14" i="42" s="1"/>
  <c r="CU15" i="42"/>
  <c r="DQ15" i="42" s="1"/>
  <c r="EB15" i="42" s="1"/>
  <c r="EM15" i="42" s="1"/>
  <c r="CV17" i="42"/>
  <c r="DR17" i="42" s="1"/>
  <c r="EC17" i="42" s="1"/>
  <c r="EN17" i="42" s="1"/>
  <c r="CX20" i="39"/>
  <c r="DT20" i="39" s="1"/>
  <c r="EE20" i="39" s="1"/>
  <c r="EP20" i="39" s="1"/>
  <c r="DB12" i="42"/>
  <c r="DX12" i="42" s="1"/>
  <c r="EI12" i="42" s="1"/>
  <c r="ET12" i="42" s="1"/>
  <c r="CX11" i="42"/>
  <c r="DT11" i="42" s="1"/>
  <c r="EE11" i="42" s="1"/>
  <c r="EP11" i="42" s="1"/>
  <c r="CX16" i="42"/>
  <c r="DT16" i="42" s="1"/>
  <c r="EE16" i="42" s="1"/>
  <c r="EP16" i="42" s="1"/>
  <c r="CY16" i="42"/>
  <c r="DU16" i="42" s="1"/>
  <c r="EF16" i="42" s="1"/>
  <c r="EQ16" i="42" s="1"/>
  <c r="DB11" i="39"/>
  <c r="DX11" i="39" s="1"/>
  <c r="EI11" i="39" s="1"/>
  <c r="ET11" i="39" s="1"/>
  <c r="CZ16" i="39"/>
  <c r="DV16" i="39" s="1"/>
  <c r="EG16" i="39" s="1"/>
  <c r="ER16" i="39" s="1"/>
  <c r="CW15" i="42"/>
  <c r="DS15" i="42" s="1"/>
  <c r="ED15" i="42" s="1"/>
  <c r="EO15" i="42" s="1"/>
  <c r="CZ13" i="42"/>
  <c r="DV13" i="42" s="1"/>
  <c r="EG13" i="42" s="1"/>
  <c r="ER13" i="42" s="1"/>
  <c r="DB16" i="42"/>
  <c r="DX16" i="42" s="1"/>
  <c r="EI16" i="42" s="1"/>
  <c r="ET16" i="42" s="1"/>
  <c r="DB13" i="39"/>
  <c r="DX13" i="39" s="1"/>
  <c r="EI13" i="39" s="1"/>
  <c r="ET13" i="39" s="1"/>
  <c r="CT11" i="39"/>
  <c r="DP11" i="39" s="1"/>
  <c r="EA11" i="39" s="1"/>
  <c r="EL11" i="39" s="1"/>
  <c r="CW13" i="42"/>
  <c r="DS13" i="42" s="1"/>
  <c r="ED13" i="42" s="1"/>
  <c r="EO13" i="42" s="1"/>
  <c r="CW12" i="42"/>
  <c r="DS12" i="42" s="1"/>
  <c r="ED12" i="42" s="1"/>
  <c r="EO12" i="42" s="1"/>
  <c r="CY11" i="42"/>
  <c r="DU11" i="42" s="1"/>
  <c r="EF11" i="42" s="1"/>
  <c r="EQ11" i="42" s="1"/>
  <c r="CZ15" i="39"/>
  <c r="DV15" i="39" s="1"/>
  <c r="EG15" i="39" s="1"/>
  <c r="ER15" i="39" s="1"/>
  <c r="CU20" i="39"/>
  <c r="DQ20" i="39" s="1"/>
  <c r="EB20" i="39" s="1"/>
  <c r="EM20" i="39" s="1"/>
  <c r="CY11" i="39"/>
  <c r="DU11" i="39" s="1"/>
  <c r="EF11" i="39" s="1"/>
  <c r="EQ11" i="39" s="1"/>
  <c r="CY15" i="39"/>
  <c r="DU15" i="39" s="1"/>
  <c r="EF15" i="39" s="1"/>
  <c r="EQ15" i="39" s="1"/>
  <c r="CZ15" i="45"/>
  <c r="DV15" i="45" s="1"/>
  <c r="EG15" i="45" s="1"/>
  <c r="ER15" i="45" s="1"/>
  <c r="CU11" i="45"/>
  <c r="DQ11" i="45" s="1"/>
  <c r="EB11" i="45" s="1"/>
  <c r="EM11" i="45" s="1"/>
  <c r="CW13" i="45"/>
  <c r="DS13" i="45" s="1"/>
  <c r="ED13" i="45" s="1"/>
  <c r="EO13" i="45" s="1"/>
  <c r="CX16" i="45"/>
  <c r="DT16" i="45" s="1"/>
  <c r="EE16" i="45" s="1"/>
  <c r="EP16" i="45" s="1"/>
  <c r="CV14" i="42"/>
  <c r="DR14" i="42" s="1"/>
  <c r="EC14" i="42" s="1"/>
  <c r="EN14" i="42" s="1"/>
  <c r="DB16" i="43"/>
  <c r="DX16" i="43" s="1"/>
  <c r="EI16" i="43" s="1"/>
  <c r="ET16" i="43" s="1"/>
  <c r="CY7" i="45"/>
  <c r="DU7" i="45" s="1"/>
  <c r="EF7" i="45" s="1"/>
  <c r="EQ7" i="45" s="1"/>
  <c r="CU9" i="45"/>
  <c r="DQ9" i="45" s="1"/>
  <c r="EB9" i="45" s="1"/>
  <c r="EM9" i="45" s="1"/>
  <c r="CV15" i="39"/>
  <c r="DR15" i="39" s="1"/>
  <c r="EC15" i="39" s="1"/>
  <c r="EN15" i="39" s="1"/>
  <c r="CV9" i="39"/>
  <c r="DR9" i="39" s="1"/>
  <c r="EC9" i="39" s="1"/>
  <c r="EN9" i="39" s="1"/>
  <c r="CZ10" i="45"/>
  <c r="DV10" i="45" s="1"/>
  <c r="EG10" i="45" s="1"/>
  <c r="ER10" i="45" s="1"/>
  <c r="CV8" i="45"/>
  <c r="DR8" i="45" s="1"/>
  <c r="EC8" i="45" s="1"/>
  <c r="EN8" i="45" s="1"/>
  <c r="CV16" i="39"/>
  <c r="DR16" i="39" s="1"/>
  <c r="EC16" i="39" s="1"/>
  <c r="EN16" i="39" s="1"/>
  <c r="CW18" i="39"/>
  <c r="DS18" i="39" s="1"/>
  <c r="ED18" i="39" s="1"/>
  <c r="EO18" i="39" s="1"/>
  <c r="CZ16" i="43"/>
  <c r="DV16" i="43" s="1"/>
  <c r="EG16" i="43" s="1"/>
  <c r="ER16" i="43" s="1"/>
  <c r="CW14" i="45"/>
  <c r="DS14" i="45" s="1"/>
  <c r="ED14" i="45" s="1"/>
  <c r="EO14" i="45" s="1"/>
  <c r="CU17" i="45"/>
  <c r="DQ17" i="45" s="1"/>
  <c r="EB17" i="45" s="1"/>
  <c r="EM17" i="45" s="1"/>
  <c r="DB15" i="43"/>
  <c r="DX15" i="43" s="1"/>
  <c r="EI15" i="43" s="1"/>
  <c r="ET15" i="43" s="1"/>
  <c r="DB8" i="45"/>
  <c r="DX8" i="45" s="1"/>
  <c r="EI8" i="45" s="1"/>
  <c r="ET8" i="45" s="1"/>
  <c r="DB11" i="45"/>
  <c r="DX11" i="45" s="1"/>
  <c r="EI11" i="45" s="1"/>
  <c r="ET11" i="45" s="1"/>
  <c r="CZ7" i="45"/>
  <c r="DV7" i="45" s="1"/>
  <c r="EG7" i="45" s="1"/>
  <c r="ER7" i="45" s="1"/>
  <c r="DA20" i="39"/>
  <c r="DW20" i="39" s="1"/>
  <c r="EH20" i="39" s="1"/>
  <c r="ES20" i="39" s="1"/>
  <c r="CX16" i="39"/>
  <c r="DT16" i="39" s="1"/>
  <c r="EE16" i="39" s="1"/>
  <c r="EP16" i="39" s="1"/>
  <c r="CY15" i="43"/>
  <c r="DU15" i="43" s="1"/>
  <c r="EF15" i="43" s="1"/>
  <c r="EQ15" i="43" s="1"/>
  <c r="CY14" i="39"/>
  <c r="DU14" i="39" s="1"/>
  <c r="EF14" i="39" s="1"/>
  <c r="EQ14" i="39" s="1"/>
  <c r="CY19" i="39"/>
  <c r="DU19" i="39" s="1"/>
  <c r="EF19" i="39" s="1"/>
  <c r="EQ19" i="39" s="1"/>
  <c r="CU17" i="43"/>
  <c r="DQ17" i="43" s="1"/>
  <c r="EB17" i="43" s="1"/>
  <c r="EM17" i="43" s="1"/>
  <c r="CT12" i="45"/>
  <c r="DP12" i="45" s="1"/>
  <c r="EA12" i="45" s="1"/>
  <c r="EL12" i="45" s="1"/>
  <c r="CU18" i="45"/>
  <c r="DQ18" i="45" s="1"/>
  <c r="EB18" i="45" s="1"/>
  <c r="EM18" i="45" s="1"/>
  <c r="CU16" i="45"/>
  <c r="DQ16" i="45" s="1"/>
  <c r="EB16" i="45" s="1"/>
  <c r="EM16" i="45" s="1"/>
  <c r="CU14" i="45"/>
  <c r="DQ14" i="45" s="1"/>
  <c r="EB14" i="45" s="1"/>
  <c r="EM14" i="45" s="1"/>
  <c r="CT13" i="45"/>
  <c r="DP13" i="45" s="1"/>
  <c r="EA13" i="45" s="1"/>
  <c r="EL13" i="45" s="1"/>
  <c r="CW14" i="43"/>
  <c r="DS14" i="43" s="1"/>
  <c r="ED14" i="43" s="1"/>
  <c r="EO14" i="43" s="1"/>
  <c r="CW7" i="45"/>
  <c r="DS7" i="45" s="1"/>
  <c r="ED7" i="45" s="1"/>
  <c r="EO7" i="45" s="1"/>
  <c r="CU7" i="45"/>
  <c r="DQ7" i="45" s="1"/>
  <c r="EB7" i="45" s="1"/>
  <c r="EM7" i="45" s="1"/>
  <c r="CU14" i="39"/>
  <c r="DQ14" i="39" s="1"/>
  <c r="EB14" i="39" s="1"/>
  <c r="EM14" i="39" s="1"/>
  <c r="DB14" i="39"/>
  <c r="DX14" i="39" s="1"/>
  <c r="EI14" i="39" s="1"/>
  <c r="ET14" i="39" s="1"/>
  <c r="CT16" i="39"/>
  <c r="DP16" i="39" s="1"/>
  <c r="EA16" i="39" s="1"/>
  <c r="EL16" i="39" s="1"/>
  <c r="CT9" i="45"/>
  <c r="DP9" i="45" s="1"/>
  <c r="EA9" i="45" s="1"/>
  <c r="EL9" i="45" s="1"/>
  <c r="DA11" i="39"/>
  <c r="DW11" i="39" s="1"/>
  <c r="EH11" i="39" s="1"/>
  <c r="ES11" i="39" s="1"/>
  <c r="CX19" i="39"/>
  <c r="DT19" i="39" s="1"/>
  <c r="EE19" i="39" s="1"/>
  <c r="EP19" i="39" s="1"/>
  <c r="DA17" i="39"/>
  <c r="DW17" i="39" s="1"/>
  <c r="EH17" i="39" s="1"/>
  <c r="ES17" i="39" s="1"/>
  <c r="CX16" i="43"/>
  <c r="DT16" i="43" s="1"/>
  <c r="EE16" i="43" s="1"/>
  <c r="EP16" i="43" s="1"/>
  <c r="CZ18" i="45"/>
  <c r="DV18" i="45" s="1"/>
  <c r="EG18" i="45" s="1"/>
  <c r="ER18" i="45" s="1"/>
  <c r="CT14" i="45"/>
  <c r="DP14" i="45" s="1"/>
  <c r="EA14" i="45" s="1"/>
  <c r="EL14" i="45" s="1"/>
  <c r="DA16" i="45"/>
  <c r="DW16" i="45" s="1"/>
  <c r="EH16" i="45" s="1"/>
  <c r="ES16" i="45" s="1"/>
  <c r="CW11" i="45"/>
  <c r="DS11" i="45" s="1"/>
  <c r="ED11" i="45" s="1"/>
  <c r="EO11" i="45" s="1"/>
  <c r="CU15" i="43"/>
  <c r="DQ15" i="43" s="1"/>
  <c r="EB15" i="43" s="1"/>
  <c r="EM15" i="43" s="1"/>
  <c r="CV7" i="45"/>
  <c r="DR7" i="45" s="1"/>
  <c r="EC7" i="45" s="1"/>
  <c r="EN7" i="45" s="1"/>
  <c r="CT8" i="45"/>
  <c r="DP8" i="45" s="1"/>
  <c r="EA8" i="45" s="1"/>
  <c r="EL8" i="45" s="1"/>
  <c r="CY9" i="45"/>
  <c r="DU9" i="45" s="1"/>
  <c r="EF9" i="45" s="1"/>
  <c r="EQ9" i="45" s="1"/>
  <c r="CU9" i="39"/>
  <c r="DQ9" i="39" s="1"/>
  <c r="EB9" i="39" s="1"/>
  <c r="EM9" i="39" s="1"/>
  <c r="CY18" i="39"/>
  <c r="DU18" i="39" s="1"/>
  <c r="EF18" i="39" s="1"/>
  <c r="EQ18" i="39" s="1"/>
  <c r="CZ15" i="42"/>
  <c r="DV15" i="42" s="1"/>
  <c r="EG15" i="42" s="1"/>
  <c r="ER15" i="42" s="1"/>
  <c r="CU13" i="42"/>
  <c r="DQ13" i="42" s="1"/>
  <c r="EB13" i="42" s="1"/>
  <c r="EM13" i="42" s="1"/>
  <c r="DB11" i="42"/>
  <c r="DX11" i="42" s="1"/>
  <c r="EI11" i="42" s="1"/>
  <c r="ET11" i="42" s="1"/>
  <c r="CT14" i="42"/>
  <c r="DP14" i="42" s="1"/>
  <c r="EA14" i="42" s="1"/>
  <c r="EL14" i="42" s="1"/>
  <c r="CT13" i="42"/>
  <c r="DP13" i="42" s="1"/>
  <c r="EA13" i="42" s="1"/>
  <c r="EL13" i="42" s="1"/>
  <c r="CX15" i="39"/>
  <c r="DT15" i="39" s="1"/>
  <c r="EE15" i="39" s="1"/>
  <c r="EP15" i="39" s="1"/>
  <c r="CU11" i="42"/>
  <c r="DQ11" i="42" s="1"/>
  <c r="EB11" i="42" s="1"/>
  <c r="EM11" i="42" s="1"/>
  <c r="CX12" i="42"/>
  <c r="DT12" i="42" s="1"/>
  <c r="EE12" i="42" s="1"/>
  <c r="EP12" i="42" s="1"/>
  <c r="DB17" i="42"/>
  <c r="DX17" i="42" s="1"/>
  <c r="EI17" i="42" s="1"/>
  <c r="ET17" i="42" s="1"/>
  <c r="CV18" i="42"/>
  <c r="DR18" i="42" s="1"/>
  <c r="EC18" i="42" s="1"/>
  <c r="EN18" i="42" s="1"/>
  <c r="CW20" i="39"/>
  <c r="DS20" i="39" s="1"/>
  <c r="ED20" i="39" s="1"/>
  <c r="EO20" i="39" s="1"/>
  <c r="CU17" i="39"/>
  <c r="DQ17" i="39" s="1"/>
  <c r="EB17" i="39" s="1"/>
  <c r="EM17" i="39" s="1"/>
  <c r="DB15" i="42"/>
  <c r="DX15" i="42" s="1"/>
  <c r="EI15" i="42" s="1"/>
  <c r="ET15" i="42" s="1"/>
  <c r="CT17" i="42"/>
  <c r="DP17" i="42" s="1"/>
  <c r="EA17" i="42" s="1"/>
  <c r="EL17" i="42" s="1"/>
  <c r="DA11" i="42"/>
  <c r="DW11" i="42" s="1"/>
  <c r="EH11" i="42" s="1"/>
  <c r="ES11" i="42" s="1"/>
  <c r="CZ18" i="42"/>
  <c r="DV18" i="42" s="1"/>
  <c r="EG18" i="42" s="1"/>
  <c r="ER18" i="42" s="1"/>
  <c r="DA19" i="39"/>
  <c r="DW19" i="39" s="1"/>
  <c r="EH19" i="39" s="1"/>
  <c r="ES19" i="39" s="1"/>
  <c r="CT19" i="39"/>
  <c r="DP19" i="39" s="1"/>
  <c r="EA19" i="39" s="1"/>
  <c r="EL19" i="39" s="1"/>
  <c r="CY14" i="42"/>
  <c r="DU14" i="42" s="1"/>
  <c r="EF14" i="42" s="1"/>
  <c r="EQ14" i="42" s="1"/>
  <c r="DA18" i="42"/>
  <c r="DW18" i="42" s="1"/>
  <c r="EH18" i="42" s="1"/>
  <c r="ES18" i="42" s="1"/>
  <c r="CW11" i="42"/>
  <c r="DS11" i="42" s="1"/>
  <c r="ED11" i="42" s="1"/>
  <c r="EO11" i="42" s="1"/>
  <c r="CY13" i="42"/>
  <c r="DU13" i="42" s="1"/>
  <c r="EF13" i="42" s="1"/>
  <c r="EQ13" i="42" s="1"/>
  <c r="CU18" i="39"/>
  <c r="DQ18" i="39" s="1"/>
  <c r="EB18" i="39" s="1"/>
  <c r="EM18" i="39" s="1"/>
  <c r="CU19" i="39"/>
  <c r="DQ19" i="39" s="1"/>
  <c r="EB19" i="39" s="1"/>
  <c r="EM19" i="39" s="1"/>
  <c r="CU12" i="39"/>
  <c r="DQ12" i="39" s="1"/>
  <c r="EB12" i="39" s="1"/>
  <c r="EM12" i="39" s="1"/>
  <c r="CX14" i="45"/>
  <c r="DT14" i="45" s="1"/>
  <c r="EE14" i="45" s="1"/>
  <c r="EP14" i="45" s="1"/>
  <c r="DB17" i="45"/>
  <c r="DX17" i="45" s="1"/>
  <c r="EI17" i="45" s="1"/>
  <c r="ET17" i="45" s="1"/>
  <c r="DA17" i="45"/>
  <c r="DW17" i="45" s="1"/>
  <c r="EH17" i="45" s="1"/>
  <c r="ES17" i="45" s="1"/>
  <c r="CV14" i="43"/>
  <c r="DR14" i="43" s="1"/>
  <c r="EC14" i="43" s="1"/>
  <c r="EN14" i="43" s="1"/>
  <c r="CZ8" i="45"/>
  <c r="DV8" i="45" s="1"/>
  <c r="EG8" i="45" s="1"/>
  <c r="ER8" i="45" s="1"/>
  <c r="CV11" i="45"/>
  <c r="DR11" i="45" s="1"/>
  <c r="EC11" i="45" s="1"/>
  <c r="EN11" i="45" s="1"/>
  <c r="CW9" i="39"/>
  <c r="DS9" i="39" s="1"/>
  <c r="ED9" i="39" s="1"/>
  <c r="EO9" i="39" s="1"/>
  <c r="CW16" i="43"/>
  <c r="DS16" i="43" s="1"/>
  <c r="ED16" i="43" s="1"/>
  <c r="EO16" i="43" s="1"/>
  <c r="DA13" i="45"/>
  <c r="DW13" i="45" s="1"/>
  <c r="EH13" i="45" s="1"/>
  <c r="ES13" i="45" s="1"/>
  <c r="CT18" i="39"/>
  <c r="DP18" i="39" s="1"/>
  <c r="EA18" i="39" s="1"/>
  <c r="EL18" i="39" s="1"/>
  <c r="CV10" i="39"/>
  <c r="DR10" i="39" s="1"/>
  <c r="EC10" i="39" s="1"/>
  <c r="EN10" i="39" s="1"/>
  <c r="DB20" i="39"/>
  <c r="DX20" i="39" s="1"/>
  <c r="EI20" i="39" s="1"/>
  <c r="ET20" i="39" s="1"/>
  <c r="CU16" i="39"/>
  <c r="DQ16" i="39" s="1"/>
  <c r="EB16" i="39" s="1"/>
  <c r="EM16" i="39" s="1"/>
  <c r="CU13" i="45"/>
  <c r="DQ13" i="45" s="1"/>
  <c r="EB13" i="45" s="1"/>
  <c r="EM13" i="45" s="1"/>
  <c r="CV15" i="45"/>
  <c r="DR15" i="45" s="1"/>
  <c r="EC15" i="45" s="1"/>
  <c r="EN15" i="45" s="1"/>
  <c r="CW15" i="45"/>
  <c r="DS15" i="45" s="1"/>
  <c r="ED15" i="45" s="1"/>
  <c r="EO15" i="45" s="1"/>
  <c r="CY14" i="43"/>
  <c r="DU14" i="43" s="1"/>
  <c r="EF14" i="43" s="1"/>
  <c r="EQ14" i="43" s="1"/>
  <c r="CW10" i="45"/>
  <c r="DS10" i="45" s="1"/>
  <c r="ED10" i="45" s="1"/>
  <c r="EO10" i="45" s="1"/>
  <c r="DB7" i="45"/>
  <c r="DX7" i="45" s="1"/>
  <c r="EI7" i="45" s="1"/>
  <c r="ET7" i="45" s="1"/>
  <c r="DA9" i="39"/>
  <c r="DW9" i="39" s="1"/>
  <c r="EH9" i="39" s="1"/>
  <c r="ES9" i="39" s="1"/>
  <c r="CX9" i="39"/>
  <c r="DT9" i="39" s="1"/>
  <c r="EE9" i="39" s="1"/>
  <c r="EP9" i="39" s="1"/>
  <c r="DB18" i="45"/>
  <c r="DX18" i="45" s="1"/>
  <c r="EI18" i="45" s="1"/>
  <c r="ET18" i="45" s="1"/>
  <c r="DA12" i="39"/>
  <c r="DW12" i="39" s="1"/>
  <c r="EH12" i="39" s="1"/>
  <c r="ES12" i="39" s="1"/>
  <c r="DB18" i="39"/>
  <c r="DX18" i="39" s="1"/>
  <c r="EI18" i="39" s="1"/>
  <c r="ET18" i="39" s="1"/>
  <c r="CU13" i="39"/>
  <c r="DQ13" i="39" s="1"/>
  <c r="DA16" i="43"/>
  <c r="DW16" i="43" s="1"/>
  <c r="EH16" i="43" s="1"/>
  <c r="ES16" i="43" s="1"/>
  <c r="CV18" i="45"/>
  <c r="DR18" i="45" s="1"/>
  <c r="EC18" i="45" s="1"/>
  <c r="EN18" i="45" s="1"/>
  <c r="CY14" i="45"/>
  <c r="DU14" i="45" s="1"/>
  <c r="EF14" i="45" s="1"/>
  <c r="EQ14" i="45" s="1"/>
  <c r="CT16" i="45"/>
  <c r="DP16" i="45" s="1"/>
  <c r="EA16" i="45" s="1"/>
  <c r="EL16" i="45" s="1"/>
  <c r="CX15" i="45"/>
  <c r="DT15" i="45" s="1"/>
  <c r="EE15" i="45" s="1"/>
  <c r="EP15" i="45" s="1"/>
  <c r="CT15" i="45"/>
  <c r="DP15" i="45" s="1"/>
  <c r="EA15" i="45" s="1"/>
  <c r="EL15" i="45" s="1"/>
  <c r="CW12" i="45"/>
  <c r="DS12" i="45" s="1"/>
  <c r="ED12" i="45" s="1"/>
  <c r="EO12" i="45" s="1"/>
  <c r="DA15" i="43"/>
  <c r="DW15" i="43" s="1"/>
  <c r="EH15" i="43" s="1"/>
  <c r="ES15" i="43" s="1"/>
  <c r="CV9" i="45"/>
  <c r="DR9" i="45" s="1"/>
  <c r="EC9" i="45" s="1"/>
  <c r="EN9" i="45" s="1"/>
  <c r="CY18" i="45"/>
  <c r="DU18" i="45" s="1"/>
  <c r="EF18" i="45" s="1"/>
  <c r="EQ18" i="45" s="1"/>
  <c r="CX7" i="45"/>
  <c r="DT7" i="45" s="1"/>
  <c r="EE7" i="45" s="1"/>
  <c r="EP7" i="45" s="1"/>
  <c r="CY10" i="39"/>
  <c r="DU10" i="39" s="1"/>
  <c r="EF10" i="39" s="1"/>
  <c r="EQ10" i="39" s="1"/>
  <c r="CV15" i="43"/>
  <c r="CU10" i="39"/>
  <c r="DQ10" i="39" s="1"/>
  <c r="EB10" i="39" s="1"/>
  <c r="EM10" i="39" s="1"/>
  <c r="CW15" i="39"/>
  <c r="DS15" i="39" s="1"/>
  <c r="ED15" i="39" s="1"/>
  <c r="EO15" i="39" s="1"/>
  <c r="DA16" i="39"/>
  <c r="DW16" i="39" s="1"/>
  <c r="EH16" i="39" s="1"/>
  <c r="ES16" i="39" s="1"/>
  <c r="CX10" i="39"/>
  <c r="DT10" i="39" s="1"/>
  <c r="EE10" i="39" s="1"/>
  <c r="EP10" i="39" s="1"/>
  <c r="DB17" i="43"/>
  <c r="DX17" i="43" s="1"/>
  <c r="EI17" i="43" s="1"/>
  <c r="ET17" i="43" s="1"/>
  <c r="CW17" i="45"/>
  <c r="DS17" i="45" s="1"/>
  <c r="ED17" i="45" s="1"/>
  <c r="EO17" i="45" s="1"/>
  <c r="CV16" i="45"/>
  <c r="DR16" i="45" s="1"/>
  <c r="EC16" i="45" s="1"/>
  <c r="EN16" i="45" s="1"/>
  <c r="CY15" i="45"/>
  <c r="DU15" i="45" s="1"/>
  <c r="EF15" i="45" s="1"/>
  <c r="EQ15" i="45" s="1"/>
  <c r="DA18" i="45"/>
  <c r="DW18" i="45" s="1"/>
  <c r="EH18" i="45" s="1"/>
  <c r="ES18" i="45" s="1"/>
  <c r="CV13" i="42"/>
  <c r="DR13" i="42" s="1"/>
  <c r="EC13" i="42" s="1"/>
  <c r="EN13" i="42" s="1"/>
  <c r="CX15" i="43"/>
  <c r="DT15" i="43" s="1"/>
  <c r="EE15" i="43" s="1"/>
  <c r="EP15" i="43" s="1"/>
  <c r="CT10" i="45"/>
  <c r="DP10" i="45" s="1"/>
  <c r="EA10" i="45" s="1"/>
  <c r="EL10" i="45" s="1"/>
  <c r="CU15" i="45"/>
  <c r="DQ15" i="45" s="1"/>
  <c r="EB15" i="45" s="1"/>
  <c r="EM15" i="45" s="1"/>
  <c r="DB15" i="45"/>
  <c r="DX15" i="45" s="1"/>
  <c r="EI15" i="45" s="1"/>
  <c r="ET15" i="45" s="1"/>
  <c r="CZ17" i="39"/>
  <c r="DV17" i="39" s="1"/>
  <c r="EG17" i="39" s="1"/>
  <c r="ER17" i="39" s="1"/>
  <c r="CW13" i="39"/>
  <c r="DS13" i="39" s="1"/>
  <c r="ED13" i="39" s="1"/>
  <c r="EO13" i="39" s="1"/>
  <c r="CT15" i="43"/>
  <c r="DP15" i="43" s="1"/>
  <c r="EA15" i="43" s="1"/>
  <c r="EL15" i="43" s="1"/>
  <c r="CT14" i="43"/>
  <c r="DP14" i="43" s="1"/>
  <c r="EA14" i="43" s="1"/>
  <c r="EL14" i="43" s="1"/>
  <c r="CX17" i="42"/>
  <c r="DT17" i="42" s="1"/>
  <c r="EE17" i="42" s="1"/>
  <c r="EP17" i="42" s="1"/>
  <c r="DB18" i="42"/>
  <c r="DX18" i="42" s="1"/>
  <c r="EI18" i="42" s="1"/>
  <c r="ET18" i="42" s="1"/>
  <c r="CY15" i="42"/>
  <c r="DU15" i="42" s="1"/>
  <c r="EF15" i="42" s="1"/>
  <c r="EQ15" i="42" s="1"/>
  <c r="CW16" i="42"/>
  <c r="DS16" i="42" s="1"/>
  <c r="ED16" i="42" s="1"/>
  <c r="EO16" i="42" s="1"/>
  <c r="CY12" i="42"/>
  <c r="DU12" i="42" s="1"/>
  <c r="EF12" i="42" s="1"/>
  <c r="EQ12" i="42" s="1"/>
  <c r="CT15" i="42"/>
  <c r="DP15" i="42" s="1"/>
  <c r="EA15" i="42" s="1"/>
  <c r="EL15" i="42" s="1"/>
  <c r="DA15" i="42"/>
  <c r="DW15" i="42" s="1"/>
  <c r="EH15" i="42" s="1"/>
  <c r="ES15" i="42" s="1"/>
  <c r="CU12" i="42"/>
  <c r="DQ12" i="42" s="1"/>
  <c r="EB12" i="42" s="1"/>
  <c r="EM12" i="42" s="1"/>
  <c r="CV18" i="39"/>
  <c r="DR18" i="39" s="1"/>
  <c r="EC18" i="39" s="1"/>
  <c r="EN18" i="39" s="1"/>
  <c r="CT12" i="39"/>
  <c r="DP12" i="39" s="1"/>
  <c r="EA12" i="39" s="1"/>
  <c r="EL12" i="39" s="1"/>
  <c r="CT11" i="42"/>
  <c r="DP11" i="42" s="1"/>
  <c r="EA11" i="42" s="1"/>
  <c r="EL11" i="42" s="1"/>
  <c r="CT16" i="42"/>
  <c r="DP16" i="42" s="1"/>
  <c r="EA16" i="42" s="1"/>
  <c r="EL16" i="42" s="1"/>
  <c r="CT12" i="42"/>
  <c r="DP12" i="42" s="1"/>
  <c r="EA12" i="42" s="1"/>
  <c r="EL12" i="42" s="1"/>
  <c r="CV12" i="42"/>
  <c r="DR12" i="42" s="1"/>
  <c r="EC12" i="42" s="1"/>
  <c r="EN12" i="42" s="1"/>
  <c r="DB16" i="39"/>
  <c r="DX16" i="39" s="1"/>
  <c r="EI16" i="39" s="1"/>
  <c r="ET16" i="39" s="1"/>
  <c r="DB13" i="42"/>
  <c r="DX13" i="42" s="1"/>
  <c r="CV16" i="42"/>
  <c r="DR16" i="42" s="1"/>
  <c r="EC16" i="42" s="1"/>
  <c r="EN16" i="42" s="1"/>
  <c r="CZ17" i="42"/>
  <c r="DV17" i="42" s="1"/>
  <c r="EG17" i="42" s="1"/>
  <c r="ER17" i="42" s="1"/>
  <c r="CW18" i="42"/>
  <c r="DS18" i="42" s="1"/>
  <c r="ED18" i="42" s="1"/>
  <c r="EO18" i="42" s="1"/>
  <c r="DB15" i="39"/>
  <c r="DX15" i="39" s="1"/>
  <c r="EI15" i="39" s="1"/>
  <c r="ET15" i="39" s="1"/>
  <c r="CY12" i="39"/>
  <c r="DU12" i="39" s="1"/>
  <c r="EF12" i="39" s="1"/>
  <c r="EQ12" i="39" s="1"/>
  <c r="DB17" i="39"/>
  <c r="DX17" i="39" s="1"/>
  <c r="EI17" i="39" s="1"/>
  <c r="ET17" i="39" s="1"/>
  <c r="CZ14" i="39"/>
  <c r="DV14" i="39" s="1"/>
  <c r="EG14" i="39" s="1"/>
  <c r="ER14" i="39" s="1"/>
  <c r="CZ17" i="43"/>
  <c r="DV17" i="43" s="1"/>
  <c r="EG17" i="43" s="1"/>
  <c r="ER17" i="43" s="1"/>
  <c r="CV16" i="43"/>
  <c r="DR16" i="43" s="1"/>
  <c r="EC16" i="43" s="1"/>
  <c r="EN16" i="43" s="1"/>
  <c r="CZ17" i="45"/>
  <c r="DV17" i="45" s="1"/>
  <c r="EG17" i="45" s="1"/>
  <c r="ER17" i="45" s="1"/>
  <c r="DA12" i="45"/>
  <c r="DW12" i="45" s="1"/>
  <c r="EH12" i="45" s="1"/>
  <c r="ES12" i="45" s="1"/>
  <c r="CU12" i="45"/>
  <c r="DQ12" i="45" s="1"/>
  <c r="EB12" i="45" s="1"/>
  <c r="EM12" i="45" s="1"/>
  <c r="CW16" i="45"/>
  <c r="DS16" i="45" s="1"/>
  <c r="ED16" i="45" s="1"/>
  <c r="EO16" i="45" s="1"/>
  <c r="CU14" i="43"/>
  <c r="DQ14" i="43" s="1"/>
  <c r="EB14" i="43" s="1"/>
  <c r="EM14" i="43" s="1"/>
  <c r="DA10" i="45"/>
  <c r="DW10" i="45" s="1"/>
  <c r="EH10" i="45" s="1"/>
  <c r="ES10" i="45" s="1"/>
  <c r="DA8" i="45"/>
  <c r="DW8" i="45" s="1"/>
  <c r="EH8" i="45" s="1"/>
  <c r="ES8" i="45" s="1"/>
  <c r="CV13" i="39"/>
  <c r="DR13" i="39" s="1"/>
  <c r="EC13" i="39" s="1"/>
  <c r="EN13" i="39" s="1"/>
  <c r="CY9" i="39"/>
  <c r="DU9" i="39" s="1"/>
  <c r="EF9" i="39" s="1"/>
  <c r="EQ9" i="39" s="1"/>
  <c r="CW17" i="39"/>
  <c r="DS17" i="39" s="1"/>
  <c r="ED17" i="39" s="1"/>
  <c r="EO17" i="39" s="1"/>
  <c r="CT10" i="39"/>
  <c r="DP10" i="39" s="1"/>
  <c r="EA10" i="39" s="1"/>
  <c r="EL10" i="39" s="1"/>
  <c r="CY13" i="39"/>
  <c r="DU13" i="39" s="1"/>
  <c r="EF13" i="39" s="1"/>
  <c r="EQ13" i="39" s="1"/>
  <c r="CU11" i="39"/>
  <c r="DQ11" i="39" s="1"/>
  <c r="EB11" i="39" s="1"/>
  <c r="EM11" i="39" s="1"/>
  <c r="CY17" i="45"/>
  <c r="DU17" i="45" s="1"/>
  <c r="EF17" i="45" s="1"/>
  <c r="EQ17" i="45" s="1"/>
  <c r="CY12" i="45"/>
  <c r="DU12" i="45" s="1"/>
  <c r="EF12" i="45" s="1"/>
  <c r="EQ12" i="45" s="1"/>
  <c r="DA14" i="45"/>
  <c r="DW14" i="45" s="1"/>
  <c r="EH14" i="45" s="1"/>
  <c r="ES14" i="45" s="1"/>
  <c r="DA17" i="42"/>
  <c r="DW17" i="42" s="1"/>
  <c r="EH17" i="42" s="1"/>
  <c r="ES17" i="42" s="1"/>
  <c r="CZ15" i="43"/>
  <c r="DV15" i="43" s="1"/>
  <c r="EG15" i="43" s="1"/>
  <c r="ER15" i="43" s="1"/>
  <c r="DB9" i="45"/>
  <c r="DX9" i="45" s="1"/>
  <c r="EI9" i="45" s="1"/>
  <c r="ET9" i="45" s="1"/>
  <c r="CT17" i="45"/>
  <c r="DP17" i="45" s="1"/>
  <c r="EA17" i="45" s="1"/>
  <c r="EL17" i="45" s="1"/>
  <c r="CW14" i="39"/>
  <c r="DS14" i="39" s="1"/>
  <c r="ED14" i="39" s="1"/>
  <c r="EO14" i="39" s="1"/>
  <c r="DB10" i="39"/>
  <c r="DX10" i="39" s="1"/>
  <c r="EI10" i="39" s="1"/>
  <c r="ET10" i="39" s="1"/>
  <c r="CW12" i="39"/>
  <c r="DS12" i="39" s="1"/>
  <c r="ED12" i="39" s="1"/>
  <c r="EO12" i="39" s="1"/>
  <c r="CW17" i="42"/>
  <c r="DS17" i="42" s="1"/>
  <c r="ED17" i="42" s="1"/>
  <c r="EO17" i="42" s="1"/>
  <c r="DB12" i="39"/>
  <c r="DX12" i="39" s="1"/>
  <c r="EI12" i="39" s="1"/>
  <c r="ET12" i="39" s="1"/>
  <c r="CX17" i="39"/>
  <c r="DT17" i="39" s="1"/>
  <c r="EE17" i="39" s="1"/>
  <c r="EP17" i="39" s="1"/>
  <c r="DA13" i="39"/>
  <c r="DW13" i="39" s="1"/>
  <c r="EH13" i="39" s="1"/>
  <c r="ES13" i="39" s="1"/>
  <c r="CW18" i="45"/>
  <c r="DS18" i="45" s="1"/>
  <c r="ED18" i="45" s="1"/>
  <c r="EO18" i="45" s="1"/>
  <c r="CY16" i="45"/>
  <c r="DU16" i="45" s="1"/>
  <c r="EF16" i="45" s="1"/>
  <c r="EQ16" i="45" s="1"/>
  <c r="CZ16" i="45"/>
  <c r="DV16" i="45" s="1"/>
  <c r="EG16" i="45" s="1"/>
  <c r="ER16" i="45" s="1"/>
  <c r="CV17" i="45"/>
  <c r="DR17" i="45" s="1"/>
  <c r="EC17" i="45" s="1"/>
  <c r="EN17" i="45" s="1"/>
  <c r="CY17" i="43"/>
  <c r="DU17" i="43" s="1"/>
  <c r="EF17" i="43" s="1"/>
  <c r="EQ17" i="43" s="1"/>
  <c r="CY10" i="45"/>
  <c r="DU10" i="45" s="1"/>
  <c r="EF10" i="45" s="1"/>
  <c r="EQ10" i="45" s="1"/>
  <c r="CU10" i="45"/>
  <c r="DQ10" i="45" s="1"/>
  <c r="EB10" i="45" s="1"/>
  <c r="EM10" i="45" s="1"/>
  <c r="CZ9" i="45"/>
  <c r="DV9" i="45" s="1"/>
  <c r="EG9" i="45" s="1"/>
  <c r="ER9" i="45" s="1"/>
  <c r="CX18" i="39"/>
  <c r="DT18" i="39" s="1"/>
  <c r="EE18" i="39" s="1"/>
  <c r="EP18" i="39" s="1"/>
  <c r="DA18" i="39"/>
  <c r="DW18" i="39" s="1"/>
  <c r="DB14" i="43"/>
  <c r="DX14" i="43" s="1"/>
  <c r="EI14" i="43" s="1"/>
  <c r="ET14" i="43" s="1"/>
  <c r="CX9" i="45"/>
  <c r="DT9" i="45" s="1"/>
  <c r="EE9" i="45" s="1"/>
  <c r="EP9" i="45" s="1"/>
  <c r="CU15" i="39"/>
  <c r="DQ15" i="39" s="1"/>
  <c r="EB15" i="39" s="1"/>
  <c r="EM15" i="39" s="1"/>
  <c r="CT14" i="39"/>
  <c r="DP14" i="39" s="1"/>
  <c r="CT20" i="39"/>
  <c r="DP20" i="39" s="1"/>
  <c r="EA20" i="39" s="1"/>
  <c r="EL20" i="39" s="1"/>
  <c r="CW11" i="39"/>
  <c r="DS11" i="39" s="1"/>
  <c r="ED11" i="39" s="1"/>
  <c r="EO11" i="39" s="1"/>
  <c r="DA15" i="39"/>
  <c r="DW15" i="39" s="1"/>
  <c r="EH15" i="39" s="1"/>
  <c r="ES15" i="39" s="1"/>
  <c r="CV17" i="43"/>
  <c r="DR17" i="43" s="1"/>
  <c r="EC17" i="43" s="1"/>
  <c r="EN17" i="43" s="1"/>
  <c r="DB12" i="45"/>
  <c r="DX12" i="45" s="1"/>
  <c r="EI12" i="45" s="1"/>
  <c r="ET12" i="45" s="1"/>
  <c r="CZ13" i="45"/>
  <c r="DV13" i="45" s="1"/>
  <c r="EG13" i="45" s="1"/>
  <c r="ER13" i="45" s="1"/>
  <c r="CV14" i="45"/>
  <c r="DR14" i="45" s="1"/>
  <c r="EC14" i="45" s="1"/>
  <c r="EN14" i="45" s="1"/>
  <c r="CX14" i="42"/>
  <c r="DT14" i="42" s="1"/>
  <c r="EE14" i="42" s="1"/>
  <c r="EP14" i="42" s="1"/>
  <c r="DA14" i="43"/>
  <c r="DW14" i="43" s="1"/>
  <c r="EH14" i="43" s="1"/>
  <c r="ES14" i="43" s="1"/>
  <c r="DA9" i="45"/>
  <c r="DW9" i="45" s="1"/>
  <c r="EH9" i="45" s="1"/>
  <c r="ES9" i="45" s="1"/>
  <c r="DB14" i="45"/>
  <c r="DX14" i="45" s="1"/>
  <c r="EI14" i="45" s="1"/>
  <c r="ET14" i="45" s="1"/>
  <c r="CT9" i="39"/>
  <c r="DP9" i="39" s="1"/>
  <c r="EA9" i="39" s="1"/>
  <c r="EL9" i="39" s="1"/>
  <c r="CY16" i="39"/>
  <c r="DU16" i="39" s="1"/>
  <c r="EF16" i="39" s="1"/>
  <c r="EQ16" i="39" s="1"/>
  <c r="CY8" i="45"/>
  <c r="DU8" i="45" s="1"/>
  <c r="EF8" i="45" s="1"/>
  <c r="EQ8" i="45" s="1"/>
  <c r="EZ19" i="2"/>
  <c r="FA19" i="2" s="1"/>
  <c r="EZ21" i="2"/>
  <c r="FA21" i="2" s="1"/>
  <c r="EZ23" i="2"/>
  <c r="FA23" i="2" s="1"/>
  <c r="EZ31" i="2"/>
  <c r="FA31" i="2" s="1"/>
  <c r="EZ46" i="2"/>
  <c r="FA46" i="2" s="1"/>
  <c r="EZ24" i="2"/>
  <c r="FA24" i="2" s="1"/>
  <c r="EZ18" i="2"/>
  <c r="FA18" i="2" s="1"/>
  <c r="EZ20" i="2"/>
  <c r="FA20" i="2" s="1"/>
  <c r="EZ22" i="2"/>
  <c r="FA22" i="2" s="1"/>
  <c r="EZ32" i="2"/>
  <c r="FA32" i="2" s="1"/>
  <c r="CI5" i="41"/>
  <c r="CH8" i="41"/>
  <c r="CS8" i="41" s="1"/>
  <c r="CQ5" i="41"/>
  <c r="CM5" i="41"/>
  <c r="CH10" i="41"/>
  <c r="CH12" i="41"/>
  <c r="CH14" i="41"/>
  <c r="DD7" i="41"/>
  <c r="CJ5" i="41"/>
  <c r="DD5" i="41"/>
  <c r="CH20" i="41"/>
  <c r="CH19" i="41"/>
  <c r="CH18" i="41"/>
  <c r="CH15" i="41"/>
  <c r="CH13" i="41"/>
  <c r="CH11" i="41"/>
  <c r="CH17" i="41"/>
  <c r="CH16" i="41"/>
  <c r="CE4" i="41"/>
  <c r="CK5" i="41"/>
  <c r="CO5" i="41"/>
  <c r="CH6" i="41"/>
  <c r="CH7" i="41"/>
  <c r="CD4" i="41"/>
  <c r="CK8" i="41" s="1"/>
  <c r="CV8" i="41" s="1"/>
  <c r="CN5" i="41"/>
  <c r="CF4" i="41"/>
  <c r="CH5" i="41"/>
  <c r="CL5" i="41"/>
  <c r="CP5" i="41"/>
  <c r="CH9" i="41"/>
  <c r="CO6" i="41" l="1"/>
  <c r="CP6" i="41"/>
  <c r="CQ6" i="41"/>
  <c r="CL6" i="41"/>
  <c r="CM6" i="41"/>
  <c r="CK6" i="41"/>
  <c r="CI6" i="41"/>
  <c r="CJ6" i="41"/>
  <c r="CN6" i="41"/>
  <c r="DO19" i="39"/>
  <c r="DC19" i="39"/>
  <c r="DC17" i="43"/>
  <c r="DO17" i="43"/>
  <c r="DO9" i="45"/>
  <c r="DC9" i="45"/>
  <c r="DZ15" i="43"/>
  <c r="DY15" i="43"/>
  <c r="DN17" i="55"/>
  <c r="DB17" i="55"/>
  <c r="DN19" i="55"/>
  <c r="DB19" i="55"/>
  <c r="DN14" i="55"/>
  <c r="DB14" i="55"/>
  <c r="EA14" i="39"/>
  <c r="EL14" i="39" s="1"/>
  <c r="EH18" i="39"/>
  <c r="ES18" i="39" s="1"/>
  <c r="DO16" i="42"/>
  <c r="DC16" i="42"/>
  <c r="DC11" i="39"/>
  <c r="DO11" i="39"/>
  <c r="DC12" i="45"/>
  <c r="DO12" i="45"/>
  <c r="DC8" i="45"/>
  <c r="DO8" i="45"/>
  <c r="DO18" i="45"/>
  <c r="DC18" i="45"/>
  <c r="DC14" i="42"/>
  <c r="DO14" i="42"/>
  <c r="DO17" i="45"/>
  <c r="DC17" i="45"/>
  <c r="DC18" i="42"/>
  <c r="DO18" i="42"/>
  <c r="EB11" i="55"/>
  <c r="EM11" i="55" s="1"/>
  <c r="EF17" i="55"/>
  <c r="EQ17" i="55" s="1"/>
  <c r="DN8" i="55"/>
  <c r="DB8" i="55"/>
  <c r="DN20" i="55"/>
  <c r="DB20" i="55"/>
  <c r="DN7" i="55"/>
  <c r="DB7" i="55"/>
  <c r="DC7" i="45"/>
  <c r="DO7" i="45"/>
  <c r="DC11" i="42"/>
  <c r="DO11" i="42"/>
  <c r="DC15" i="39"/>
  <c r="DO15" i="39"/>
  <c r="DC15" i="45"/>
  <c r="DO15" i="45"/>
  <c r="DN18" i="55"/>
  <c r="DB18" i="55"/>
  <c r="DO13" i="42"/>
  <c r="DC13" i="42"/>
  <c r="DC14" i="43"/>
  <c r="DO14" i="43"/>
  <c r="DC11" i="45"/>
  <c r="DO11" i="45"/>
  <c r="DC9" i="39"/>
  <c r="DO9" i="39"/>
  <c r="DO18" i="39"/>
  <c r="DC18" i="39"/>
  <c r="DO13" i="39"/>
  <c r="DC13" i="39"/>
  <c r="DC13" i="45"/>
  <c r="DO13" i="45"/>
  <c r="DC16" i="39"/>
  <c r="DO16" i="39"/>
  <c r="DB12" i="55"/>
  <c r="DN12" i="55"/>
  <c r="DB13" i="55"/>
  <c r="DN13" i="55"/>
  <c r="EB13" i="39"/>
  <c r="EM13" i="39" s="1"/>
  <c r="EI13" i="42"/>
  <c r="ET13" i="42" s="1"/>
  <c r="DC15" i="43"/>
  <c r="DR15" i="43"/>
  <c r="EC15" i="43" s="1"/>
  <c r="EN15" i="43" s="1"/>
  <c r="DO15" i="42"/>
  <c r="DC15" i="42"/>
  <c r="DC16" i="45"/>
  <c r="DO16" i="45"/>
  <c r="DC10" i="39"/>
  <c r="DO10" i="39"/>
  <c r="DC17" i="39"/>
  <c r="DO17" i="39"/>
  <c r="DC12" i="42"/>
  <c r="DO12" i="42"/>
  <c r="DO20" i="39"/>
  <c r="DC20" i="39"/>
  <c r="DC12" i="39"/>
  <c r="DO12" i="39"/>
  <c r="DC10" i="45"/>
  <c r="DO10" i="45"/>
  <c r="DC17" i="42"/>
  <c r="DO17" i="42"/>
  <c r="DO16" i="43"/>
  <c r="DC16" i="43"/>
  <c r="DC14" i="39"/>
  <c r="DO14" i="39"/>
  <c r="DC14" i="45"/>
  <c r="DO14" i="45"/>
  <c r="DZ15" i="55"/>
  <c r="EK15" i="55" s="1"/>
  <c r="ED15" i="55"/>
  <c r="EO15" i="55" s="1"/>
  <c r="EA20" i="55"/>
  <c r="EL20" i="55" s="1"/>
  <c r="DZ8" i="55"/>
  <c r="EK8" i="55" s="1"/>
  <c r="DN15" i="55"/>
  <c r="DB15" i="55"/>
  <c r="DB10" i="55"/>
  <c r="DN10" i="55"/>
  <c r="DB11" i="55"/>
  <c r="DN11" i="55"/>
  <c r="DB16" i="55"/>
  <c r="DN16" i="55"/>
  <c r="DB9" i="55"/>
  <c r="DN9" i="55"/>
  <c r="CK7" i="41"/>
  <c r="CV7" i="41" s="1"/>
  <c r="CI19" i="41"/>
  <c r="CT19" i="41" s="1"/>
  <c r="CP9" i="41"/>
  <c r="DA9" i="41" s="1"/>
  <c r="CQ16" i="41"/>
  <c r="DB16" i="41" s="1"/>
  <c r="CM7" i="41"/>
  <c r="CX7" i="41" s="1"/>
  <c r="CL12" i="41"/>
  <c r="CW12" i="41" s="1"/>
  <c r="CI16" i="41"/>
  <c r="CT16" i="41" s="1"/>
  <c r="CI14" i="41"/>
  <c r="CT14" i="41" s="1"/>
  <c r="CM13" i="41"/>
  <c r="CX13" i="41" s="1"/>
  <c r="CI17" i="41"/>
  <c r="CT17" i="41" s="1"/>
  <c r="CM19" i="41"/>
  <c r="CX19" i="41" s="1"/>
  <c r="CK13" i="41"/>
  <c r="CV13" i="41" s="1"/>
  <c r="CP14" i="41"/>
  <c r="DA14" i="41" s="1"/>
  <c r="CQ15" i="41"/>
  <c r="DB15" i="41" s="1"/>
  <c r="CQ17" i="41"/>
  <c r="DB17" i="41" s="1"/>
  <c r="CM20" i="41"/>
  <c r="CX20" i="41" s="1"/>
  <c r="CO20" i="41"/>
  <c r="CZ20" i="41" s="1"/>
  <c r="CM14" i="41"/>
  <c r="CX14" i="41" s="1"/>
  <c r="CM10" i="41"/>
  <c r="CX10" i="41" s="1"/>
  <c r="CM8" i="41"/>
  <c r="CX8" i="41" s="1"/>
  <c r="CQ20" i="41"/>
  <c r="DB20" i="41" s="1"/>
  <c r="CO7" i="41"/>
  <c r="CZ7" i="41" s="1"/>
  <c r="CI9" i="41"/>
  <c r="CT9" i="41" s="1"/>
  <c r="CO15" i="41"/>
  <c r="CZ15" i="41" s="1"/>
  <c r="CK15" i="41"/>
  <c r="CV15" i="41" s="1"/>
  <c r="CN11" i="41"/>
  <c r="CY11" i="41" s="1"/>
  <c r="CL9" i="41"/>
  <c r="CW9" i="41" s="1"/>
  <c r="CN8" i="41"/>
  <c r="CY8" i="41" s="1"/>
  <c r="CI7" i="41"/>
  <c r="CT7" i="41" s="1"/>
  <c r="CO17" i="41"/>
  <c r="CZ17" i="41" s="1"/>
  <c r="CP12" i="41"/>
  <c r="DA12" i="41" s="1"/>
  <c r="CK11" i="41"/>
  <c r="CV11" i="41" s="1"/>
  <c r="CO13" i="41"/>
  <c r="CZ13" i="41" s="1"/>
  <c r="CP11" i="41"/>
  <c r="DA11" i="41" s="1"/>
  <c r="CN15" i="41"/>
  <c r="CY15" i="41" s="1"/>
  <c r="CQ13" i="41"/>
  <c r="DB13" i="41" s="1"/>
  <c r="CK16" i="41"/>
  <c r="CV16" i="41" s="1"/>
  <c r="CO18" i="41"/>
  <c r="CZ18" i="41" s="1"/>
  <c r="CN20" i="41"/>
  <c r="CY20" i="41" s="1"/>
  <c r="CL20" i="41"/>
  <c r="CW20" i="41" s="1"/>
  <c r="CJ18" i="41"/>
  <c r="CU18" i="41" s="1"/>
  <c r="CN13" i="41"/>
  <c r="CY13" i="41" s="1"/>
  <c r="CO9" i="41"/>
  <c r="CZ9" i="41" s="1"/>
  <c r="CI8" i="41"/>
  <c r="CT8" i="41" s="1"/>
  <c r="CP15" i="41"/>
  <c r="DA15" i="41" s="1"/>
  <c r="CJ16" i="41"/>
  <c r="CU16" i="41" s="1"/>
  <c r="CJ7" i="41"/>
  <c r="CU7" i="41" s="1"/>
  <c r="CO8" i="41"/>
  <c r="CZ8" i="41" s="1"/>
  <c r="CP20" i="41"/>
  <c r="DA20" i="41" s="1"/>
  <c r="CP16" i="41"/>
  <c r="DA16" i="41" s="1"/>
  <c r="CM11" i="41"/>
  <c r="CX11" i="41" s="1"/>
  <c r="CK9" i="41"/>
  <c r="CV9" i="41" s="1"/>
  <c r="CP7" i="41"/>
  <c r="DA7" i="41" s="1"/>
  <c r="CN9" i="41"/>
  <c r="CY9" i="41" s="1"/>
  <c r="CQ11" i="41"/>
  <c r="DB11" i="41" s="1"/>
  <c r="CJ11" i="41"/>
  <c r="CU11" i="41" s="1"/>
  <c r="CN18" i="41"/>
  <c r="CY18" i="41" s="1"/>
  <c r="CQ14" i="41"/>
  <c r="DB14" i="41" s="1"/>
  <c r="CN10" i="41"/>
  <c r="CY10" i="41" s="1"/>
  <c r="CJ8" i="41"/>
  <c r="CU8" i="41" s="1"/>
  <c r="CJ12" i="41"/>
  <c r="CU12" i="41" s="1"/>
  <c r="CI15" i="41"/>
  <c r="CT15" i="41" s="1"/>
  <c r="CJ19" i="41"/>
  <c r="CU19" i="41" s="1"/>
  <c r="CJ20" i="41"/>
  <c r="CU20" i="41" s="1"/>
  <c r="CL16" i="41"/>
  <c r="CW16" i="41" s="1"/>
  <c r="CP10" i="41"/>
  <c r="DA10" i="41" s="1"/>
  <c r="CO11" i="41"/>
  <c r="CZ11" i="41" s="1"/>
  <c r="CN14" i="41"/>
  <c r="CY14" i="41" s="1"/>
  <c r="CN12" i="41"/>
  <c r="CY12" i="41" s="1"/>
  <c r="CN16" i="41"/>
  <c r="CY16" i="41" s="1"/>
  <c r="CK14" i="41"/>
  <c r="CV14" i="41" s="1"/>
  <c r="CO16" i="41"/>
  <c r="CZ16" i="41" s="1"/>
  <c r="CL19" i="41"/>
  <c r="CW19" i="41" s="1"/>
  <c r="CN17" i="41"/>
  <c r="CY17" i="41" s="1"/>
  <c r="CM18" i="41"/>
  <c r="CX18" i="41" s="1"/>
  <c r="CI13" i="41"/>
  <c r="CT13" i="41" s="1"/>
  <c r="CJ10" i="41"/>
  <c r="CU10" i="41" s="1"/>
  <c r="CQ7" i="41"/>
  <c r="DB7" i="41" s="1"/>
  <c r="CI12" i="41"/>
  <c r="CT12" i="41" s="1"/>
  <c r="CJ14" i="41"/>
  <c r="CU14" i="41" s="1"/>
  <c r="CI18" i="41"/>
  <c r="CT18" i="41" s="1"/>
  <c r="CJ17" i="41"/>
  <c r="CU17" i="41" s="1"/>
  <c r="CI20" i="41"/>
  <c r="CT20" i="41" s="1"/>
  <c r="CL14" i="41"/>
  <c r="CW14" i="41" s="1"/>
  <c r="CP8" i="41"/>
  <c r="DA8" i="41" s="1"/>
  <c r="CM12" i="41"/>
  <c r="CX12" i="41" s="1"/>
  <c r="CM16" i="41"/>
  <c r="CX16" i="41" s="1"/>
  <c r="CL13" i="41"/>
  <c r="CW13" i="41" s="1"/>
  <c r="CK17" i="41"/>
  <c r="CV17" i="41" s="1"/>
  <c r="CO14" i="41"/>
  <c r="CZ14" i="41" s="1"/>
  <c r="CQ18" i="41"/>
  <c r="DB18" i="41" s="1"/>
  <c r="CM17" i="41"/>
  <c r="CX17" i="41" s="1"/>
  <c r="CP18" i="41"/>
  <c r="DA18" i="41" s="1"/>
  <c r="CP19" i="41"/>
  <c r="DA19" i="41" s="1"/>
  <c r="CQ19" i="41"/>
  <c r="DB19" i="41" s="1"/>
  <c r="CJ15" i="41"/>
  <c r="CU15" i="41" s="1"/>
  <c r="CQ10" i="41"/>
  <c r="DB10" i="41" s="1"/>
  <c r="CQ8" i="41"/>
  <c r="DB8" i="41" s="1"/>
  <c r="CL7" i="41"/>
  <c r="CW7" i="41" s="1"/>
  <c r="CL8" i="41"/>
  <c r="CW8" i="41" s="1"/>
  <c r="CJ13" i="41"/>
  <c r="CU13" i="41" s="1"/>
  <c r="CO12" i="41"/>
  <c r="CZ12" i="41" s="1"/>
  <c r="CN19" i="41"/>
  <c r="CY19" i="41" s="1"/>
  <c r="CN7" i="41"/>
  <c r="CY7" i="41" s="1"/>
  <c r="CR6" i="41"/>
  <c r="CR5" i="41"/>
  <c r="CS16" i="41"/>
  <c r="CR16" i="41"/>
  <c r="CS10" i="41"/>
  <c r="CS9" i="41"/>
  <c r="CS17" i="41"/>
  <c r="DC8" i="41"/>
  <c r="CS15" i="41"/>
  <c r="CR7" i="41"/>
  <c r="CS20" i="41"/>
  <c r="CR8" i="41"/>
  <c r="DN20" i="41"/>
  <c r="DM20" i="41"/>
  <c r="DN19" i="41"/>
  <c r="DM19" i="41"/>
  <c r="DN18" i="41"/>
  <c r="DN16" i="41"/>
  <c r="DM18" i="41"/>
  <c r="DM14" i="41"/>
  <c r="DN17" i="41"/>
  <c r="DN15" i="41"/>
  <c r="DN11" i="41"/>
  <c r="DM17" i="41"/>
  <c r="DM15" i="41"/>
  <c r="DM11" i="41"/>
  <c r="DM16" i="41"/>
  <c r="DM13" i="41"/>
  <c r="DN10" i="41"/>
  <c r="DN9" i="41"/>
  <c r="DN5" i="41"/>
  <c r="DM6" i="41"/>
  <c r="DN12" i="41"/>
  <c r="DM10" i="41"/>
  <c r="DM9" i="41"/>
  <c r="DN7" i="41"/>
  <c r="DN6" i="41"/>
  <c r="DM5" i="41"/>
  <c r="DN14" i="41"/>
  <c r="DM12" i="41"/>
  <c r="DN8" i="41"/>
  <c r="DM7" i="41"/>
  <c r="DN13" i="41"/>
  <c r="DM8" i="41"/>
  <c r="CS11" i="41"/>
  <c r="CS19" i="41"/>
  <c r="DJ20" i="41"/>
  <c r="DF20" i="41"/>
  <c r="DL19" i="41"/>
  <c r="DH19" i="41"/>
  <c r="DI20" i="41"/>
  <c r="DE20" i="41"/>
  <c r="DK19" i="41"/>
  <c r="DG19" i="41"/>
  <c r="DL20" i="41"/>
  <c r="DH20" i="41"/>
  <c r="DF19" i="41"/>
  <c r="DK20" i="41"/>
  <c r="DE19" i="41"/>
  <c r="DG20" i="41"/>
  <c r="DJ18" i="41"/>
  <c r="DF18" i="41"/>
  <c r="DL17" i="41"/>
  <c r="DH17" i="41"/>
  <c r="DJ16" i="41"/>
  <c r="DF16" i="41"/>
  <c r="DI18" i="41"/>
  <c r="DE18" i="41"/>
  <c r="DK17" i="41"/>
  <c r="DG17" i="41"/>
  <c r="DG18" i="41"/>
  <c r="DI17" i="41"/>
  <c r="DK16" i="41"/>
  <c r="DE16" i="41"/>
  <c r="DK15" i="41"/>
  <c r="DG15" i="41"/>
  <c r="DI14" i="41"/>
  <c r="DE14" i="41"/>
  <c r="DK13" i="41"/>
  <c r="DG13" i="41"/>
  <c r="DL18" i="41"/>
  <c r="DE17" i="41"/>
  <c r="DL16" i="41"/>
  <c r="DI15" i="41"/>
  <c r="DK14" i="41"/>
  <c r="DF14" i="41"/>
  <c r="DL13" i="41"/>
  <c r="DF13" i="41"/>
  <c r="DL12" i="41"/>
  <c r="DH12" i="41"/>
  <c r="DJ11" i="41"/>
  <c r="DF11" i="41"/>
  <c r="DL10" i="41"/>
  <c r="DJ19" i="41"/>
  <c r="DK18" i="41"/>
  <c r="DI16" i="41"/>
  <c r="DH15" i="41"/>
  <c r="DJ14" i="41"/>
  <c r="DJ13" i="41"/>
  <c r="DE13" i="41"/>
  <c r="DK12" i="41"/>
  <c r="DG12" i="41"/>
  <c r="DI11" i="41"/>
  <c r="DE11" i="41"/>
  <c r="DK10" i="41"/>
  <c r="DH18" i="41"/>
  <c r="DJ17" i="41"/>
  <c r="DE15" i="41"/>
  <c r="DH14" i="41"/>
  <c r="DI12" i="41"/>
  <c r="DL11" i="41"/>
  <c r="DH10" i="41"/>
  <c r="DJ9" i="41"/>
  <c r="DF9" i="41"/>
  <c r="DL8" i="41"/>
  <c r="DH8" i="41"/>
  <c r="DR8" i="41" s="1"/>
  <c r="DK7" i="41"/>
  <c r="DG7" i="41"/>
  <c r="DK6" i="41"/>
  <c r="DG6" i="41"/>
  <c r="DJ5" i="41"/>
  <c r="DF5" i="41"/>
  <c r="DJ15" i="41"/>
  <c r="DE12" i="41"/>
  <c r="DH11" i="41"/>
  <c r="DF10" i="41"/>
  <c r="DH9" i="41"/>
  <c r="DJ8" i="41"/>
  <c r="DI7" i="41"/>
  <c r="DE6" i="41"/>
  <c r="DL5" i="41"/>
  <c r="DL14" i="41"/>
  <c r="DG11" i="41"/>
  <c r="DF17" i="41"/>
  <c r="DH16" i="41"/>
  <c r="DL15" i="41"/>
  <c r="DG14" i="41"/>
  <c r="DI13" i="41"/>
  <c r="DF12" i="41"/>
  <c r="DK11" i="41"/>
  <c r="DG10" i="41"/>
  <c r="DI9" i="41"/>
  <c r="DE9" i="41"/>
  <c r="DK8" i="41"/>
  <c r="DG8" i="41"/>
  <c r="DJ7" i="41"/>
  <c r="DF7" i="41"/>
  <c r="DJ6" i="41"/>
  <c r="DF6" i="41"/>
  <c r="DI5" i="41"/>
  <c r="DE5" i="41"/>
  <c r="DG16" i="41"/>
  <c r="DH13" i="41"/>
  <c r="DJ10" i="41"/>
  <c r="DL9" i="41"/>
  <c r="DF8" i="41"/>
  <c r="DE7" i="41"/>
  <c r="DI6" i="41"/>
  <c r="DH5" i="41"/>
  <c r="DI19" i="41"/>
  <c r="DF15" i="41"/>
  <c r="DJ12" i="41"/>
  <c r="DE10" i="41"/>
  <c r="DK9" i="41"/>
  <c r="DH6" i="41"/>
  <c r="DG5" i="41"/>
  <c r="EX5" i="41" s="1"/>
  <c r="CI11" i="41"/>
  <c r="CT11" i="41" s="1"/>
  <c r="CQ9" i="41"/>
  <c r="DB9" i="41" s="1"/>
  <c r="DE8" i="41"/>
  <c r="DO8" i="41" s="1"/>
  <c r="DI10" i="41"/>
  <c r="CM9" i="41"/>
  <c r="CX9" i="41" s="1"/>
  <c r="DK5" i="41"/>
  <c r="DG9" i="41"/>
  <c r="DI8" i="41"/>
  <c r="CK10" i="41"/>
  <c r="CV10" i="41" s="1"/>
  <c r="DL7" i="41"/>
  <c r="DH7" i="41"/>
  <c r="DL6" i="41"/>
  <c r="CQ12" i="41"/>
  <c r="DB12" i="41" s="1"/>
  <c r="CL15" i="41"/>
  <c r="CW15" i="41" s="1"/>
  <c r="DS15" i="41" s="1"/>
  <c r="CL11" i="41"/>
  <c r="CW11" i="41" s="1"/>
  <c r="CP13" i="41"/>
  <c r="DA13" i="41" s="1"/>
  <c r="CM15" i="41"/>
  <c r="CX15" i="41" s="1"/>
  <c r="CL17" i="41"/>
  <c r="CW17" i="41" s="1"/>
  <c r="CK18" i="41"/>
  <c r="CV18" i="41" s="1"/>
  <c r="CL18" i="41"/>
  <c r="CW18" i="41" s="1"/>
  <c r="CO19" i="41"/>
  <c r="CZ19" i="41" s="1"/>
  <c r="CK19" i="41"/>
  <c r="CV19" i="41" s="1"/>
  <c r="CK20" i="41"/>
  <c r="CV20" i="41" s="1"/>
  <c r="CP17" i="41"/>
  <c r="DA17" i="41" s="1"/>
  <c r="CK12" i="41"/>
  <c r="CV12" i="41" s="1"/>
  <c r="CI10" i="41"/>
  <c r="CT10" i="41" s="1"/>
  <c r="CR13" i="41"/>
  <c r="CS13" i="41"/>
  <c r="CS18" i="41"/>
  <c r="CR18" i="41"/>
  <c r="CL10" i="41"/>
  <c r="CW10" i="41" s="1"/>
  <c r="CS14" i="41"/>
  <c r="CR14" i="41"/>
  <c r="CR12" i="41"/>
  <c r="CS12" i="41"/>
  <c r="CJ9" i="41"/>
  <c r="CU9" i="41" s="1"/>
  <c r="CS7" i="41"/>
  <c r="CO10" i="41"/>
  <c r="CZ10" i="41" s="1"/>
  <c r="DS12" i="41" l="1"/>
  <c r="DW19" i="41"/>
  <c r="EH19" i="41" s="1"/>
  <c r="ES19" i="41" s="1"/>
  <c r="DP17" i="41"/>
  <c r="EA17" i="41" s="1"/>
  <c r="EL17" i="41" s="1"/>
  <c r="DP19" i="41"/>
  <c r="EA19" i="41" s="1"/>
  <c r="EL19" i="41" s="1"/>
  <c r="DX9" i="41"/>
  <c r="EI9" i="41" s="1"/>
  <c r="ET9" i="41" s="1"/>
  <c r="DW9" i="41"/>
  <c r="EH9" i="41" s="1"/>
  <c r="ES9" i="41" s="1"/>
  <c r="DX7" i="41"/>
  <c r="EI7" i="41" s="1"/>
  <c r="ET7" i="41" s="1"/>
  <c r="DT12" i="41"/>
  <c r="EE12" i="41" s="1"/>
  <c r="EP12" i="41" s="1"/>
  <c r="DT14" i="41"/>
  <c r="EE14" i="41" s="1"/>
  <c r="EP14" i="41" s="1"/>
  <c r="DR7" i="41"/>
  <c r="EC7" i="41" s="1"/>
  <c r="EN7" i="41" s="1"/>
  <c r="DY16" i="55"/>
  <c r="EI16" i="55" s="1"/>
  <c r="DX16" i="55"/>
  <c r="DY10" i="55"/>
  <c r="EI10" i="55" s="1"/>
  <c r="DX10" i="55"/>
  <c r="DZ14" i="39"/>
  <c r="EJ14" i="39" s="1"/>
  <c r="DY14" i="39"/>
  <c r="DY17" i="42"/>
  <c r="DZ17" i="42"/>
  <c r="DZ12" i="39"/>
  <c r="EJ12" i="39" s="1"/>
  <c r="DY12" i="39"/>
  <c r="DZ12" i="42"/>
  <c r="DY12" i="42"/>
  <c r="DZ10" i="39"/>
  <c r="EJ10" i="39" s="1"/>
  <c r="DY10" i="39"/>
  <c r="DZ13" i="39"/>
  <c r="EJ13" i="39" s="1"/>
  <c r="DY13" i="39"/>
  <c r="DY15" i="45"/>
  <c r="DZ15" i="45"/>
  <c r="EJ15" i="45" s="1"/>
  <c r="DY11" i="42"/>
  <c r="DZ11" i="42"/>
  <c r="DX20" i="55"/>
  <c r="DY20" i="55"/>
  <c r="EI20" i="55" s="1"/>
  <c r="DX19" i="55"/>
  <c r="DY19" i="55"/>
  <c r="EI19" i="55" s="1"/>
  <c r="DZ9" i="45"/>
  <c r="EJ9" i="45" s="1"/>
  <c r="DY9" i="45"/>
  <c r="DZ19" i="39"/>
  <c r="EJ19" i="39" s="1"/>
  <c r="DY19" i="39"/>
  <c r="DX12" i="41"/>
  <c r="EI12" i="41" s="1"/>
  <c r="ET12" i="41" s="1"/>
  <c r="DW18" i="41"/>
  <c r="EH18" i="41" s="1"/>
  <c r="ES18" i="41" s="1"/>
  <c r="DY15" i="42"/>
  <c r="DZ15" i="42"/>
  <c r="EJ15" i="42" s="1"/>
  <c r="DX13" i="55"/>
  <c r="DY13" i="55"/>
  <c r="EI13" i="55" s="1"/>
  <c r="DY13" i="45"/>
  <c r="DZ13" i="45"/>
  <c r="EJ13" i="45" s="1"/>
  <c r="DZ11" i="45"/>
  <c r="EJ11" i="45" s="1"/>
  <c r="DY11" i="45"/>
  <c r="DZ18" i="42"/>
  <c r="EJ18" i="42" s="1"/>
  <c r="DY18" i="42"/>
  <c r="DY12" i="45"/>
  <c r="DZ12" i="45"/>
  <c r="EJ12" i="45" s="1"/>
  <c r="DY17" i="43"/>
  <c r="DZ17" i="43"/>
  <c r="EJ17" i="43" s="1"/>
  <c r="DQ17" i="41"/>
  <c r="EB17" i="41" s="1"/>
  <c r="EM17" i="41" s="1"/>
  <c r="DX9" i="55"/>
  <c r="DY9" i="55"/>
  <c r="EI9" i="55" s="1"/>
  <c r="DY11" i="55"/>
  <c r="EI11" i="55" s="1"/>
  <c r="DX11" i="55"/>
  <c r="DY14" i="45"/>
  <c r="DZ14" i="45"/>
  <c r="EJ14" i="45" s="1"/>
  <c r="DY10" i="45"/>
  <c r="DZ10" i="45"/>
  <c r="DZ17" i="39"/>
  <c r="EJ17" i="39" s="1"/>
  <c r="DY17" i="39"/>
  <c r="DZ16" i="45"/>
  <c r="EJ16" i="45" s="1"/>
  <c r="DY16" i="45"/>
  <c r="DZ18" i="39"/>
  <c r="EJ18" i="39" s="1"/>
  <c r="DY18" i="39"/>
  <c r="DY13" i="42"/>
  <c r="DZ13" i="42"/>
  <c r="EJ13" i="42" s="1"/>
  <c r="DY15" i="39"/>
  <c r="DZ15" i="39"/>
  <c r="EJ15" i="39" s="1"/>
  <c r="DZ7" i="45"/>
  <c r="EJ7" i="45" s="1"/>
  <c r="DY7" i="45"/>
  <c r="DX7" i="55"/>
  <c r="DY7" i="55"/>
  <c r="EI7" i="55" s="1"/>
  <c r="DY8" i="55"/>
  <c r="EI8" i="55" s="1"/>
  <c r="DX8" i="55"/>
  <c r="DY17" i="45"/>
  <c r="DZ17" i="45"/>
  <c r="EJ17" i="45" s="1"/>
  <c r="DZ18" i="45"/>
  <c r="EJ18" i="45" s="1"/>
  <c r="DY18" i="45"/>
  <c r="DZ16" i="42"/>
  <c r="EJ16" i="42" s="1"/>
  <c r="DY16" i="42"/>
  <c r="DX14" i="55"/>
  <c r="DY14" i="55"/>
  <c r="EI14" i="55" s="1"/>
  <c r="DY17" i="55"/>
  <c r="EI17" i="55" s="1"/>
  <c r="DX17" i="55"/>
  <c r="EK15" i="43"/>
  <c r="EU15" i="43" s="1"/>
  <c r="EJ15" i="43"/>
  <c r="DX15" i="55"/>
  <c r="DY15" i="55"/>
  <c r="EI15" i="55" s="1"/>
  <c r="DZ16" i="43"/>
  <c r="EJ16" i="43" s="1"/>
  <c r="DY16" i="43"/>
  <c r="DZ20" i="39"/>
  <c r="EJ20" i="39" s="1"/>
  <c r="DY20" i="39"/>
  <c r="DY12" i="55"/>
  <c r="EI12" i="55" s="1"/>
  <c r="DX12" i="55"/>
  <c r="DZ16" i="39"/>
  <c r="EJ16" i="39" s="1"/>
  <c r="DY16" i="39"/>
  <c r="DY9" i="39"/>
  <c r="DZ9" i="39"/>
  <c r="DZ14" i="43"/>
  <c r="EJ14" i="43" s="1"/>
  <c r="DY14" i="43"/>
  <c r="DX18" i="55"/>
  <c r="DY18" i="55"/>
  <c r="EI18" i="55" s="1"/>
  <c r="DY14" i="42"/>
  <c r="DZ14" i="42"/>
  <c r="EJ14" i="42" s="1"/>
  <c r="DZ8" i="45"/>
  <c r="DY8" i="45"/>
  <c r="DZ11" i="39"/>
  <c r="EJ11" i="39" s="1"/>
  <c r="DY11" i="39"/>
  <c r="AS5" i="41"/>
  <c r="DU8" i="41"/>
  <c r="EF8" i="41" s="1"/>
  <c r="EQ8" i="41" s="1"/>
  <c r="DQ15" i="41"/>
  <c r="EB15" i="41" s="1"/>
  <c r="EM15" i="41" s="1"/>
  <c r="DQ20" i="41"/>
  <c r="EB20" i="41" s="1"/>
  <c r="EM20" i="41" s="1"/>
  <c r="CR11" i="41"/>
  <c r="CR9" i="41"/>
  <c r="CR19" i="41"/>
  <c r="CR15" i="41"/>
  <c r="CR20" i="41"/>
  <c r="CR17" i="41"/>
  <c r="CR10" i="41"/>
  <c r="DT19" i="41"/>
  <c r="EE19" i="41" s="1"/>
  <c r="EP19" i="41" s="1"/>
  <c r="DP16" i="41"/>
  <c r="EA16" i="41" s="1"/>
  <c r="EL16" i="41" s="1"/>
  <c r="DP14" i="41"/>
  <c r="EA14" i="41" s="1"/>
  <c r="EL14" i="41" s="1"/>
  <c r="DS8" i="41"/>
  <c r="ED8" i="41" s="1"/>
  <c r="EO8" i="41" s="1"/>
  <c r="DS13" i="41"/>
  <c r="ED13" i="41" s="1"/>
  <c r="EO13" i="41" s="1"/>
  <c r="DR13" i="41"/>
  <c r="EC13" i="41" s="1"/>
  <c r="EN13" i="41" s="1"/>
  <c r="DQ8" i="41"/>
  <c r="EB8" i="41" s="1"/>
  <c r="EM8" i="41" s="1"/>
  <c r="DR11" i="41"/>
  <c r="EC11" i="41" s="1"/>
  <c r="EN11" i="41" s="1"/>
  <c r="DU7" i="41"/>
  <c r="EF7" i="41" s="1"/>
  <c r="EQ7" i="41" s="1"/>
  <c r="DU14" i="41"/>
  <c r="EF14" i="41" s="1"/>
  <c r="EQ14" i="41" s="1"/>
  <c r="DS14" i="41"/>
  <c r="ED14" i="41" s="1"/>
  <c r="EO14" i="41" s="1"/>
  <c r="DX13" i="41"/>
  <c r="EI13" i="41" s="1"/>
  <c r="ET13" i="41" s="1"/>
  <c r="DW16" i="41"/>
  <c r="EH16" i="41" s="1"/>
  <c r="ES16" i="41" s="1"/>
  <c r="DX16" i="41"/>
  <c r="EI16" i="41" s="1"/>
  <c r="ET16" i="41" s="1"/>
  <c r="DR9" i="41"/>
  <c r="EC9" i="41" s="1"/>
  <c r="EN9" i="41" s="1"/>
  <c r="DT17" i="41"/>
  <c r="EE17" i="41" s="1"/>
  <c r="EP17" i="41" s="1"/>
  <c r="DV16" i="41"/>
  <c r="EG16" i="41" s="1"/>
  <c r="ER16" i="41" s="1"/>
  <c r="DT20" i="41"/>
  <c r="EE20" i="41" s="1"/>
  <c r="EP20" i="41" s="1"/>
  <c r="DR17" i="41"/>
  <c r="EC17" i="41" s="1"/>
  <c r="EN17" i="41" s="1"/>
  <c r="DQ13" i="41"/>
  <c r="EB13" i="41" s="1"/>
  <c r="EM13" i="41" s="1"/>
  <c r="DT13" i="41"/>
  <c r="EE13" i="41" s="1"/>
  <c r="EP13" i="41" s="1"/>
  <c r="DT7" i="41"/>
  <c r="EE7" i="41" s="1"/>
  <c r="EP7" i="41" s="1"/>
  <c r="DV7" i="41"/>
  <c r="EG7" i="41" s="1"/>
  <c r="ER7" i="41" s="1"/>
  <c r="DU9" i="41"/>
  <c r="EF9" i="41" s="1"/>
  <c r="EQ9" i="41" s="1"/>
  <c r="DQ16" i="41"/>
  <c r="EB16" i="41" s="1"/>
  <c r="EM16" i="41" s="1"/>
  <c r="DU11" i="41"/>
  <c r="EF11" i="41" s="1"/>
  <c r="EQ11" i="41" s="1"/>
  <c r="DV14" i="41"/>
  <c r="EG14" i="41" s="1"/>
  <c r="ER14" i="41" s="1"/>
  <c r="DQ9" i="41"/>
  <c r="EB9" i="41" s="1"/>
  <c r="EM9" i="41" s="1"/>
  <c r="DV19" i="41"/>
  <c r="EG19" i="41" s="1"/>
  <c r="ER19" i="41" s="1"/>
  <c r="DT9" i="41"/>
  <c r="EE9" i="41" s="1"/>
  <c r="EP9" i="41" s="1"/>
  <c r="DV9" i="41"/>
  <c r="EG9" i="41" s="1"/>
  <c r="ER9" i="41" s="1"/>
  <c r="DP12" i="41"/>
  <c r="EA12" i="41" s="1"/>
  <c r="EL12" i="41" s="1"/>
  <c r="DV11" i="41"/>
  <c r="EG11" i="41" s="1"/>
  <c r="ER11" i="41" s="1"/>
  <c r="DT11" i="41"/>
  <c r="EE11" i="41" s="1"/>
  <c r="EP11" i="41" s="1"/>
  <c r="DU13" i="41"/>
  <c r="EF13" i="41" s="1"/>
  <c r="EQ13" i="41" s="1"/>
  <c r="DU15" i="41"/>
  <c r="EF15" i="41" s="1"/>
  <c r="EQ15" i="41" s="1"/>
  <c r="DP10" i="41"/>
  <c r="EA10" i="41" s="1"/>
  <c r="EL10" i="41" s="1"/>
  <c r="DW20" i="41"/>
  <c r="EH20" i="41" s="1"/>
  <c r="ES20" i="41" s="1"/>
  <c r="DW15" i="41"/>
  <c r="EH15" i="41" s="1"/>
  <c r="ES15" i="41" s="1"/>
  <c r="DP11" i="41"/>
  <c r="EA11" i="41" s="1"/>
  <c r="EL11" i="41" s="1"/>
  <c r="DP7" i="41"/>
  <c r="EA7" i="41" s="1"/>
  <c r="EL7" i="41" s="1"/>
  <c r="DR16" i="41"/>
  <c r="EC16" i="41" s="1"/>
  <c r="EN16" i="41" s="1"/>
  <c r="DU18" i="41"/>
  <c r="EF18" i="41" s="1"/>
  <c r="EQ18" i="41" s="1"/>
  <c r="DV13" i="41"/>
  <c r="EG13" i="41" s="1"/>
  <c r="ER13" i="41" s="1"/>
  <c r="DQ18" i="41"/>
  <c r="EB18" i="41" s="1"/>
  <c r="EM18" i="41" s="1"/>
  <c r="DW7" i="41"/>
  <c r="EH7" i="41" s="1"/>
  <c r="ES7" i="41" s="1"/>
  <c r="DQ12" i="41"/>
  <c r="EB12" i="41" s="1"/>
  <c r="EM12" i="41" s="1"/>
  <c r="DP18" i="41"/>
  <c r="EA18" i="41" s="1"/>
  <c r="EL18" i="41" s="1"/>
  <c r="DX10" i="41"/>
  <c r="EI10" i="41" s="1"/>
  <c r="ET10" i="41" s="1"/>
  <c r="DX20" i="41"/>
  <c r="EI20" i="41" s="1"/>
  <c r="ET20" i="41" s="1"/>
  <c r="DX19" i="41"/>
  <c r="EI19" i="41" s="1"/>
  <c r="ET19" i="41" s="1"/>
  <c r="DW12" i="41"/>
  <c r="EH12" i="41" s="1"/>
  <c r="ES12" i="41" s="1"/>
  <c r="DS9" i="41"/>
  <c r="ED9" i="41" s="1"/>
  <c r="EO9" i="41" s="1"/>
  <c r="DQ10" i="41"/>
  <c r="EB10" i="41" s="1"/>
  <c r="EM10" i="41" s="1"/>
  <c r="DU12" i="41"/>
  <c r="EF12" i="41" s="1"/>
  <c r="EQ12" i="41" s="1"/>
  <c r="DR15" i="41"/>
  <c r="EC15" i="41" s="1"/>
  <c r="EN15" i="41" s="1"/>
  <c r="DW8" i="41"/>
  <c r="EH8" i="41" s="1"/>
  <c r="ES8" i="41" s="1"/>
  <c r="DW14" i="41"/>
  <c r="EH14" i="41" s="1"/>
  <c r="ES14" i="41" s="1"/>
  <c r="DW13" i="41"/>
  <c r="EH13" i="41" s="1"/>
  <c r="ES13" i="41" s="1"/>
  <c r="DT10" i="41"/>
  <c r="EE10" i="41" s="1"/>
  <c r="EP10" i="41" s="1"/>
  <c r="DQ7" i="41"/>
  <c r="EB7" i="41" s="1"/>
  <c r="EM7" i="41" s="1"/>
  <c r="DU20" i="41"/>
  <c r="EF20" i="41" s="1"/>
  <c r="EQ20" i="41" s="1"/>
  <c r="DX11" i="41"/>
  <c r="EI11" i="41" s="1"/>
  <c r="ET11" i="41" s="1"/>
  <c r="DP15" i="41"/>
  <c r="EA15" i="41" s="1"/>
  <c r="EL15" i="41" s="1"/>
  <c r="DX14" i="41"/>
  <c r="EI14" i="41" s="1"/>
  <c r="ET14" i="41" s="1"/>
  <c r="DV17" i="41"/>
  <c r="DP9" i="41"/>
  <c r="EA9" i="41" s="1"/>
  <c r="EL9" i="41" s="1"/>
  <c r="DQ19" i="41"/>
  <c r="EB19" i="41" s="1"/>
  <c r="EM19" i="41" s="1"/>
  <c r="DR18" i="41"/>
  <c r="EC18" i="41" s="1"/>
  <c r="EN18" i="41" s="1"/>
  <c r="DS11" i="41"/>
  <c r="ED11" i="41" s="1"/>
  <c r="EO11" i="41" s="1"/>
  <c r="DS7" i="41"/>
  <c r="ED7" i="41" s="1"/>
  <c r="EO7" i="41" s="1"/>
  <c r="DR14" i="41"/>
  <c r="EC14" i="41" s="1"/>
  <c r="EN14" i="41" s="1"/>
  <c r="DU10" i="41"/>
  <c r="EF10" i="41" s="1"/>
  <c r="EQ10" i="41" s="1"/>
  <c r="DV18" i="41"/>
  <c r="EG18" i="41" s="1"/>
  <c r="ER18" i="41" s="1"/>
  <c r="DU16" i="41"/>
  <c r="EF16" i="41" s="1"/>
  <c r="EQ16" i="41" s="1"/>
  <c r="DU17" i="41"/>
  <c r="EF17" i="41" s="1"/>
  <c r="EQ17" i="41" s="1"/>
  <c r="DT18" i="41"/>
  <c r="EE18" i="41" s="1"/>
  <c r="EP18" i="41" s="1"/>
  <c r="DU19" i="41"/>
  <c r="EF19" i="41" s="1"/>
  <c r="EQ19" i="41" s="1"/>
  <c r="DW10" i="41"/>
  <c r="EH10" i="41" s="1"/>
  <c r="ES10" i="41" s="1"/>
  <c r="DX15" i="41"/>
  <c r="DW17" i="41"/>
  <c r="EH17" i="41" s="1"/>
  <c r="ES17" i="41" s="1"/>
  <c r="DP20" i="41"/>
  <c r="EA20" i="41" s="1"/>
  <c r="EL20" i="41" s="1"/>
  <c r="DX17" i="41"/>
  <c r="EI17" i="41" s="1"/>
  <c r="ET17" i="41" s="1"/>
  <c r="DQ14" i="41"/>
  <c r="EB14" i="41" s="1"/>
  <c r="EM14" i="41" s="1"/>
  <c r="DP13" i="41"/>
  <c r="EA13" i="41" s="1"/>
  <c r="EL13" i="41" s="1"/>
  <c r="DS10" i="41"/>
  <c r="ED10" i="41" s="1"/>
  <c r="DR19" i="41"/>
  <c r="EC19" i="41" s="1"/>
  <c r="EN19" i="41" s="1"/>
  <c r="DV8" i="41"/>
  <c r="EG8" i="41" s="1"/>
  <c r="ER8" i="41" s="1"/>
  <c r="DS16" i="41"/>
  <c r="ED16" i="41" s="1"/>
  <c r="EO16" i="41" s="1"/>
  <c r="DV12" i="41"/>
  <c r="EG12" i="41" s="1"/>
  <c r="ER12" i="41" s="1"/>
  <c r="DT16" i="41"/>
  <c r="EE16" i="41" s="1"/>
  <c r="EP16" i="41" s="1"/>
  <c r="DV20" i="41"/>
  <c r="EG20" i="41" s="1"/>
  <c r="ER20" i="41" s="1"/>
  <c r="DX8" i="41"/>
  <c r="EI8" i="41" s="1"/>
  <c r="ET8" i="41" s="1"/>
  <c r="DX18" i="41"/>
  <c r="EI18" i="41" s="1"/>
  <c r="ET18" i="41" s="1"/>
  <c r="DR20" i="41"/>
  <c r="EC20" i="41" s="1"/>
  <c r="EN20" i="41" s="1"/>
  <c r="DT15" i="41"/>
  <c r="EE15" i="41" s="1"/>
  <c r="EP15" i="41" s="1"/>
  <c r="DQ11" i="41"/>
  <c r="EB11" i="41" s="1"/>
  <c r="EM11" i="41" s="1"/>
  <c r="DW11" i="41"/>
  <c r="EH11" i="41" s="1"/>
  <c r="ES11" i="41" s="1"/>
  <c r="DR12" i="41"/>
  <c r="EC12" i="41" s="1"/>
  <c r="EN12" i="41" s="1"/>
  <c r="DR10" i="41"/>
  <c r="EC10" i="41" s="1"/>
  <c r="EN10" i="41" s="1"/>
  <c r="DS19" i="41"/>
  <c r="ED19" i="41" s="1"/>
  <c r="EO19" i="41" s="1"/>
  <c r="DP8" i="41"/>
  <c r="EA8" i="41" s="1"/>
  <c r="EL8" i="41" s="1"/>
  <c r="DV15" i="41"/>
  <c r="EG15" i="41" s="1"/>
  <c r="ER15" i="41" s="1"/>
  <c r="DT8" i="41"/>
  <c r="EE8" i="41" s="1"/>
  <c r="EP8" i="41" s="1"/>
  <c r="DS20" i="41"/>
  <c r="ED20" i="41" s="1"/>
  <c r="EO20" i="41" s="1"/>
  <c r="EC8" i="41"/>
  <c r="EN8" i="41" s="1"/>
  <c r="ED12" i="41"/>
  <c r="EO12" i="41" s="1"/>
  <c r="DO18" i="41"/>
  <c r="DC18" i="41"/>
  <c r="DZ8" i="41"/>
  <c r="DY8" i="41"/>
  <c r="DO17" i="41"/>
  <c r="DC17" i="41"/>
  <c r="DO10" i="41"/>
  <c r="DC10" i="41"/>
  <c r="DO13" i="41"/>
  <c r="DC13" i="41"/>
  <c r="DC11" i="41"/>
  <c r="DO11" i="41"/>
  <c r="DV10" i="41"/>
  <c r="DO14" i="41"/>
  <c r="DC14" i="41"/>
  <c r="DS18" i="41"/>
  <c r="DS17" i="41"/>
  <c r="EZ7" i="41"/>
  <c r="DO20" i="41"/>
  <c r="DC20" i="41"/>
  <c r="EZ5" i="41"/>
  <c r="ED15" i="41"/>
  <c r="EO15" i="41" s="1"/>
  <c r="DO7" i="41"/>
  <c r="DC7" i="41"/>
  <c r="DO19" i="41"/>
  <c r="DC19" i="41"/>
  <c r="DO12" i="41"/>
  <c r="DC12" i="41"/>
  <c r="DO15" i="41"/>
  <c r="DC15" i="41"/>
  <c r="DO9" i="41"/>
  <c r="DC9" i="41"/>
  <c r="DC16" i="41"/>
  <c r="DO16" i="41"/>
  <c r="EJ17" i="55" l="1"/>
  <c r="ET17" i="55" s="1"/>
  <c r="EK13" i="39"/>
  <c r="EU13" i="39" s="1"/>
  <c r="EK19" i="39"/>
  <c r="EU19" i="39" s="1"/>
  <c r="EK14" i="39"/>
  <c r="EU14" i="39" s="1"/>
  <c r="EK18" i="39"/>
  <c r="EU18" i="39" s="1"/>
  <c r="EJ19" i="55"/>
  <c r="ET19" i="55" s="1"/>
  <c r="EK17" i="45"/>
  <c r="EU17" i="45" s="1"/>
  <c r="EK11" i="39"/>
  <c r="EU11" i="39" s="1"/>
  <c r="EK11" i="45"/>
  <c r="EU11" i="45" s="1"/>
  <c r="EJ8" i="55"/>
  <c r="ET8" i="55" s="1"/>
  <c r="EK14" i="42"/>
  <c r="EU14" i="42" s="1"/>
  <c r="EJ11" i="55"/>
  <c r="ET11" i="55" s="1"/>
  <c r="EK17" i="39"/>
  <c r="EU17" i="39" s="1"/>
  <c r="EJ9" i="55"/>
  <c r="ET9" i="55" s="1"/>
  <c r="EK13" i="45"/>
  <c r="EU13" i="45" s="1"/>
  <c r="EK10" i="39"/>
  <c r="EU10" i="39" s="1"/>
  <c r="EK15" i="39"/>
  <c r="EU15" i="39" s="1"/>
  <c r="EK9" i="45"/>
  <c r="EU9" i="45" s="1"/>
  <c r="EJ16" i="55"/>
  <c r="ET16" i="55" s="1"/>
  <c r="EK16" i="39"/>
  <c r="EU16" i="39" s="1"/>
  <c r="EK16" i="45"/>
  <c r="EU16" i="45" s="1"/>
  <c r="EJ14" i="55"/>
  <c r="ET14" i="55" s="1"/>
  <c r="EJ13" i="55"/>
  <c r="ET13" i="55" s="1"/>
  <c r="EJ12" i="55"/>
  <c r="ET12" i="55" s="1"/>
  <c r="EJ20" i="55"/>
  <c r="ET20" i="55" s="1"/>
  <c r="EK20" i="39"/>
  <c r="EU20" i="39" s="1"/>
  <c r="EJ18" i="55"/>
  <c r="ET18" i="55" s="1"/>
  <c r="EK13" i="42"/>
  <c r="EU13" i="42" s="1"/>
  <c r="EK14" i="45"/>
  <c r="EU14" i="45" s="1"/>
  <c r="EK15" i="42"/>
  <c r="EU15" i="42" s="1"/>
  <c r="EK8" i="45"/>
  <c r="EU8" i="45" s="1"/>
  <c r="EJ8" i="45"/>
  <c r="EK12" i="42"/>
  <c r="EU12" i="42" s="1"/>
  <c r="EJ12" i="42"/>
  <c r="EK17" i="42"/>
  <c r="EU17" i="42" s="1"/>
  <c r="EJ17" i="42"/>
  <c r="AT5" i="41"/>
  <c r="EK9" i="39"/>
  <c r="EU9" i="39" s="1"/>
  <c r="EJ9" i="39"/>
  <c r="EK18" i="45"/>
  <c r="EU18" i="45" s="1"/>
  <c r="EK7" i="45"/>
  <c r="EU7" i="45" s="1"/>
  <c r="EK18" i="42"/>
  <c r="EU18" i="42" s="1"/>
  <c r="EK15" i="45"/>
  <c r="EU15" i="45" s="1"/>
  <c r="EK12" i="39"/>
  <c r="EU12" i="39" s="1"/>
  <c r="EJ10" i="55"/>
  <c r="ET10" i="55" s="1"/>
  <c r="EK14" i="43"/>
  <c r="EU14" i="43" s="1"/>
  <c r="EK16" i="43"/>
  <c r="EU16" i="43" s="1"/>
  <c r="EJ15" i="55"/>
  <c r="ET15" i="55" s="1"/>
  <c r="EK16" i="42"/>
  <c r="EU16" i="42" s="1"/>
  <c r="EJ7" i="55"/>
  <c r="ET7" i="55" s="1"/>
  <c r="EK10" i="45"/>
  <c r="EU10" i="45" s="1"/>
  <c r="EJ10" i="45"/>
  <c r="EK17" i="43"/>
  <c r="EU17" i="43" s="1"/>
  <c r="EK12" i="45"/>
  <c r="EU12" i="45" s="1"/>
  <c r="EK11" i="42"/>
  <c r="EU11" i="42" s="1"/>
  <c r="EJ11" i="42"/>
  <c r="EI15" i="41"/>
  <c r="ET15" i="41" s="1"/>
  <c r="EO10" i="41"/>
  <c r="EG17" i="41"/>
  <c r="ER17" i="41" s="1"/>
  <c r="DY17" i="41"/>
  <c r="DZ17" i="41"/>
  <c r="EJ17" i="41" s="1"/>
  <c r="DZ9" i="41"/>
  <c r="EJ9" i="41" s="1"/>
  <c r="DY9" i="41"/>
  <c r="DY12" i="41"/>
  <c r="DZ12" i="41"/>
  <c r="EJ12" i="41" s="1"/>
  <c r="DZ19" i="41"/>
  <c r="EJ19" i="41" s="1"/>
  <c r="DY19" i="41"/>
  <c r="FA7" i="41"/>
  <c r="FB7" i="41" s="1"/>
  <c r="DY14" i="41"/>
  <c r="DZ14" i="41"/>
  <c r="EJ14" i="41" s="1"/>
  <c r="DZ16" i="41"/>
  <c r="EJ16" i="41" s="1"/>
  <c r="DY16" i="41"/>
  <c r="DY15" i="41"/>
  <c r="DZ15" i="41"/>
  <c r="EJ15" i="41" s="1"/>
  <c r="DZ20" i="41"/>
  <c r="EJ20" i="41" s="1"/>
  <c r="DY20" i="41"/>
  <c r="ED17" i="41"/>
  <c r="EO17" i="41" s="1"/>
  <c r="EJ8" i="41"/>
  <c r="DZ18" i="41"/>
  <c r="EJ18" i="41" s="1"/>
  <c r="DY18" i="41"/>
  <c r="DZ7" i="41"/>
  <c r="EJ7" i="41" s="1"/>
  <c r="DY7" i="41"/>
  <c r="ED18" i="41"/>
  <c r="EO18" i="41" s="1"/>
  <c r="DZ11" i="41"/>
  <c r="EJ11" i="41" s="1"/>
  <c r="DY11" i="41"/>
  <c r="DZ13" i="41"/>
  <c r="EJ13" i="41" s="1"/>
  <c r="DY13" i="41"/>
  <c r="DZ10" i="41"/>
  <c r="EJ10" i="41" s="1"/>
  <c r="DY10" i="41"/>
  <c r="FA5" i="41"/>
  <c r="FB5" i="41" s="1"/>
  <c r="EG10" i="41"/>
  <c r="ER10" i="41" s="1"/>
  <c r="EK8" i="41"/>
  <c r="EU8" i="41" s="1"/>
  <c r="EK19" i="41" l="1"/>
  <c r="EU19" i="41" s="1"/>
  <c r="EK10" i="41"/>
  <c r="EU10" i="41" s="1"/>
  <c r="EK9" i="41"/>
  <c r="EU9" i="41" s="1"/>
  <c r="EK15" i="41"/>
  <c r="EU15" i="41" s="1"/>
  <c r="EK12" i="41"/>
  <c r="EU12" i="41" s="1"/>
  <c r="EK20" i="41"/>
  <c r="EU20" i="41" s="1"/>
  <c r="EK16" i="41"/>
  <c r="EU16" i="41" s="1"/>
  <c r="EK17" i="41"/>
  <c r="EU17" i="41" s="1"/>
  <c r="EK13" i="41"/>
  <c r="EU13" i="41" s="1"/>
  <c r="EK11" i="41"/>
  <c r="EU11" i="41" s="1"/>
  <c r="EK7" i="41"/>
  <c r="EU7" i="41" s="1"/>
  <c r="EK18" i="41"/>
  <c r="EU18" i="41" s="1"/>
  <c r="EK14" i="41"/>
  <c r="EU14" i="41" s="1"/>
  <c r="DC46" i="2" l="1"/>
  <c r="DC45" i="2"/>
  <c r="DC44" i="2"/>
  <c r="DC43" i="2"/>
  <c r="DC42" i="2"/>
  <c r="DC41" i="2"/>
  <c r="DC40" i="2"/>
  <c r="DC39" i="2"/>
  <c r="DC38" i="2"/>
  <c r="DC37" i="2"/>
  <c r="DC36" i="2"/>
  <c r="DC35" i="2"/>
  <c r="DC34" i="2"/>
  <c r="DC33" i="2"/>
  <c r="DC32" i="2"/>
  <c r="DC31" i="2"/>
  <c r="DC30" i="2"/>
  <c r="BG46" i="2" l="1"/>
  <c r="BG45" i="2"/>
  <c r="BG44" i="2"/>
  <c r="BG43" i="2"/>
  <c r="BG42" i="2"/>
  <c r="BG41" i="2"/>
  <c r="BG40" i="2"/>
  <c r="BG39" i="2"/>
  <c r="BG38" i="2"/>
  <c r="BG36" i="2"/>
  <c r="BG35" i="2"/>
  <c r="BG33" i="2"/>
  <c r="BG34" i="2"/>
  <c r="BG32" i="2"/>
  <c r="BG31" i="2"/>
  <c r="BG30" i="2"/>
  <c r="EY17" i="2"/>
  <c r="EX17" i="2"/>
  <c r="EY13" i="2"/>
  <c r="EX13" i="2"/>
  <c r="AE7" i="2"/>
  <c r="EY6" i="2"/>
  <c r="EX6" i="2"/>
  <c r="BG29" i="2"/>
  <c r="AJ29" i="2"/>
  <c r="AI29" i="2"/>
  <c r="BG28" i="2"/>
  <c r="AJ28" i="2"/>
  <c r="AI28" i="2"/>
  <c r="BG27" i="2"/>
  <c r="AJ27" i="2"/>
  <c r="AI27" i="2"/>
  <c r="BG26" i="2"/>
  <c r="AJ26" i="2"/>
  <c r="AI26" i="2"/>
  <c r="BG25" i="2"/>
  <c r="AJ25" i="2"/>
  <c r="AI25" i="2"/>
  <c r="BG24" i="2"/>
  <c r="AJ24" i="2"/>
  <c r="AI24" i="2"/>
  <c r="BG23" i="2"/>
  <c r="AJ23" i="2"/>
  <c r="AI23" i="2"/>
  <c r="BG22" i="2"/>
  <c r="AJ22" i="2"/>
  <c r="AI22" i="2"/>
  <c r="BG21" i="2"/>
  <c r="AJ21" i="2"/>
  <c r="AI21" i="2"/>
  <c r="BG20" i="2"/>
  <c r="AJ20" i="2"/>
  <c r="AI20" i="2"/>
  <c r="BG19" i="2"/>
  <c r="AJ19" i="2"/>
  <c r="AI19" i="2"/>
  <c r="BG18" i="2"/>
  <c r="AI18" i="2"/>
  <c r="BG17" i="2"/>
  <c r="AI17" i="2"/>
  <c r="BG16" i="2"/>
  <c r="AJ16" i="2"/>
  <c r="AI16" i="2"/>
  <c r="BG15" i="2"/>
  <c r="AJ15" i="2"/>
  <c r="AI15" i="2"/>
  <c r="CE14" i="2"/>
  <c r="CD14" i="2"/>
  <c r="CC14" i="2"/>
  <c r="CF14" i="2" s="1"/>
  <c r="CA14" i="2"/>
  <c r="BZ14" i="2"/>
  <c r="BY14" i="2"/>
  <c r="BX14" i="2"/>
  <c r="BG14" i="2"/>
  <c r="AJ14" i="2"/>
  <c r="AI14" i="2"/>
  <c r="CE13" i="2"/>
  <c r="CD13" i="2"/>
  <c r="CC13" i="2"/>
  <c r="CF13" i="2" s="1"/>
  <c r="CA13" i="2"/>
  <c r="BZ13" i="2"/>
  <c r="BY13" i="2"/>
  <c r="BX13" i="2"/>
  <c r="BG13" i="2"/>
  <c r="AJ13" i="2"/>
  <c r="AI13" i="2"/>
  <c r="CE12" i="2"/>
  <c r="CD12" i="2"/>
  <c r="CC12" i="2"/>
  <c r="CF12" i="2" s="1"/>
  <c r="CA12" i="2"/>
  <c r="BZ12" i="2"/>
  <c r="BY12" i="2"/>
  <c r="BX12" i="2"/>
  <c r="BG12" i="2"/>
  <c r="AJ12" i="2"/>
  <c r="AI12" i="2"/>
  <c r="CE11" i="2"/>
  <c r="CD11" i="2"/>
  <c r="CC11" i="2"/>
  <c r="CF11" i="2" s="1"/>
  <c r="CA11" i="2"/>
  <c r="BZ11" i="2"/>
  <c r="BY11" i="2"/>
  <c r="BX11" i="2"/>
  <c r="CM4" i="2" s="1"/>
  <c r="CX4" i="2" s="1"/>
  <c r="DJ4" i="2" s="1"/>
  <c r="DT4" i="2" s="1"/>
  <c r="EE4" i="2" s="1"/>
  <c r="EP4" i="2" s="1"/>
  <c r="BG11" i="2"/>
  <c r="AJ11" i="2"/>
  <c r="CE10" i="2"/>
  <c r="CD10" i="2"/>
  <c r="CC10" i="2"/>
  <c r="CF10" i="2" s="1"/>
  <c r="CA10" i="2"/>
  <c r="BZ10" i="2"/>
  <c r="BY10" i="2"/>
  <c r="BX10" i="2"/>
  <c r="CL4" i="2" s="1"/>
  <c r="CW4" i="2" s="1"/>
  <c r="DI4" i="2" s="1"/>
  <c r="DS4" i="2" s="1"/>
  <c r="ED4" i="2" s="1"/>
  <c r="EO4" i="2" s="1"/>
  <c r="BG10" i="2"/>
  <c r="AJ10" i="2"/>
  <c r="DC10" i="2"/>
  <c r="CE9" i="2"/>
  <c r="CD9" i="2"/>
  <c r="CC9" i="2"/>
  <c r="CF9" i="2" s="1"/>
  <c r="CA9" i="2"/>
  <c r="BZ9" i="2"/>
  <c r="BY9" i="2"/>
  <c r="BX9" i="2"/>
  <c r="CK4" i="2" s="1"/>
  <c r="CV4" i="2" s="1"/>
  <c r="DH4" i="2" s="1"/>
  <c r="DR4" i="2" s="1"/>
  <c r="EC4" i="2" s="1"/>
  <c r="EN4" i="2" s="1"/>
  <c r="CJ4" i="2"/>
  <c r="CU4" i="2" s="1"/>
  <c r="DG4" i="2" s="1"/>
  <c r="DQ4" i="2" s="1"/>
  <c r="EB4" i="2" s="1"/>
  <c r="EM4" i="2" s="1"/>
  <c r="EU7" i="2"/>
  <c r="EX7" i="2" s="1"/>
  <c r="DC7" i="2"/>
  <c r="CE7" i="2"/>
  <c r="CD7" i="2"/>
  <c r="CC7" i="2"/>
  <c r="CF7" i="2" s="1"/>
  <c r="CA7" i="2"/>
  <c r="BZ7" i="2"/>
  <c r="BY7" i="2"/>
  <c r="BX7" i="2"/>
  <c r="CI4" i="2" s="1"/>
  <c r="CT4" i="2" s="1"/>
  <c r="DF4" i="2" s="1"/>
  <c r="DP4" i="2" s="1"/>
  <c r="EA4" i="2" s="1"/>
  <c r="EL4" i="2" s="1"/>
  <c r="BG7" i="2"/>
  <c r="AJ7" i="2"/>
  <c r="CE6" i="2"/>
  <c r="CD6" i="2"/>
  <c r="CC6" i="2"/>
  <c r="CF6" i="2" s="1"/>
  <c r="CA6" i="2"/>
  <c r="BZ6" i="2"/>
  <c r="BY6" i="2"/>
  <c r="BX6" i="2"/>
  <c r="CH4" i="2" s="1"/>
  <c r="CS4" i="2" s="1"/>
  <c r="DE4" i="2" s="1"/>
  <c r="DO4" i="2" s="1"/>
  <c r="DZ4" i="2" s="1"/>
  <c r="EK4" i="2" s="1"/>
  <c r="BG6" i="2"/>
  <c r="AJ6" i="2"/>
  <c r="AI6" i="2"/>
  <c r="CE5" i="2"/>
  <c r="CD5" i="2"/>
  <c r="CC5" i="2"/>
  <c r="CF5" i="2" s="1"/>
  <c r="CA5" i="2"/>
  <c r="BZ5" i="2"/>
  <c r="BY5" i="2"/>
  <c r="BX5" i="2"/>
  <c r="CG4" i="2" s="1"/>
  <c r="CR4" i="2" s="1"/>
  <c r="DD4" i="2" s="1"/>
  <c r="DN4" i="2" s="1"/>
  <c r="DY4" i="2" s="1"/>
  <c r="EJ4" i="2" s="1"/>
  <c r="BG5" i="2"/>
  <c r="AJ5" i="2"/>
  <c r="AI5" i="2"/>
  <c r="CP4" i="2"/>
  <c r="DA4" i="2" s="1"/>
  <c r="DM4" i="2" s="1"/>
  <c r="DW4" i="2" s="1"/>
  <c r="EH4" i="2" s="1"/>
  <c r="ES4" i="2" s="1"/>
  <c r="CO4" i="2"/>
  <c r="CZ4" i="2" s="1"/>
  <c r="DL4" i="2" s="1"/>
  <c r="DV4" i="2" s="1"/>
  <c r="EG4" i="2" s="1"/>
  <c r="ER4" i="2" s="1"/>
  <c r="CN4" i="2"/>
  <c r="CY4" i="2" s="1"/>
  <c r="DK4" i="2" s="1"/>
  <c r="DU4" i="2" s="1"/>
  <c r="EF4" i="2" s="1"/>
  <c r="EQ4" i="2" s="1"/>
  <c r="CB4" i="2"/>
  <c r="CA4" i="2"/>
  <c r="BZ4" i="2"/>
  <c r="BY4" i="2"/>
  <c r="CG49" i="2" l="1"/>
  <c r="CG48" i="2"/>
  <c r="CK47" i="2"/>
  <c r="CO47" i="2"/>
  <c r="CN47" i="2"/>
  <c r="CM47" i="2"/>
  <c r="CJ47" i="2"/>
  <c r="CL47" i="2"/>
  <c r="CP47" i="2"/>
  <c r="CH47" i="2"/>
  <c r="CS47" i="2" s="1"/>
  <c r="CI47" i="2"/>
  <c r="CG8" i="2"/>
  <c r="CG47" i="2"/>
  <c r="BG57" i="2"/>
  <c r="BG56" i="2"/>
  <c r="BG55" i="2"/>
  <c r="BG54" i="2"/>
  <c r="CM8" i="2"/>
  <c r="CJ8" i="2"/>
  <c r="CN8" i="2"/>
  <c r="CL8" i="2"/>
  <c r="CO8" i="2"/>
  <c r="CI8" i="2"/>
  <c r="EZ13" i="2"/>
  <c r="FA13" i="2" s="1"/>
  <c r="CO46" i="2"/>
  <c r="CK46" i="2"/>
  <c r="CO45" i="2"/>
  <c r="CK45" i="2"/>
  <c r="CO44" i="2"/>
  <c r="CK44" i="2"/>
  <c r="CO43" i="2"/>
  <c r="CK43" i="2"/>
  <c r="CO42" i="2"/>
  <c r="CK42" i="2"/>
  <c r="CO41" i="2"/>
  <c r="CK41" i="2"/>
  <c r="CO40" i="2"/>
  <c r="CK40" i="2"/>
  <c r="CO39" i="2"/>
  <c r="CK39" i="2"/>
  <c r="CO38" i="2"/>
  <c r="CK38" i="2"/>
  <c r="CO37" i="2"/>
  <c r="CK37" i="2"/>
  <c r="CO36" i="2"/>
  <c r="CK36" i="2"/>
  <c r="CN35" i="2"/>
  <c r="CJ35" i="2"/>
  <c r="CO34" i="2"/>
  <c r="CK34" i="2"/>
  <c r="CO33" i="2"/>
  <c r="CK33" i="2"/>
  <c r="CO32" i="2"/>
  <c r="CK32" i="2"/>
  <c r="CM31" i="2"/>
  <c r="CN46" i="2"/>
  <c r="CJ46" i="2"/>
  <c r="CN45" i="2"/>
  <c r="CJ45" i="2"/>
  <c r="CN44" i="2"/>
  <c r="CJ44" i="2"/>
  <c r="CN43" i="2"/>
  <c r="CJ43" i="2"/>
  <c r="CN42" i="2"/>
  <c r="CJ42" i="2"/>
  <c r="CN41" i="2"/>
  <c r="CJ41" i="2"/>
  <c r="CN40" i="2"/>
  <c r="CJ40" i="2"/>
  <c r="CN39" i="2"/>
  <c r="CJ39" i="2"/>
  <c r="CN38" i="2"/>
  <c r="CJ38" i="2"/>
  <c r="CN37" i="2"/>
  <c r="CJ37" i="2"/>
  <c r="CN36" i="2"/>
  <c r="CJ36" i="2"/>
  <c r="CM35" i="2"/>
  <c r="CN34" i="2"/>
  <c r="CJ34" i="2"/>
  <c r="CN33" i="2"/>
  <c r="CJ33" i="2"/>
  <c r="CN32" i="2"/>
  <c r="CJ32" i="2"/>
  <c r="CP31" i="2"/>
  <c r="CL31" i="2"/>
  <c r="CM45" i="2"/>
  <c r="CM43" i="2"/>
  <c r="CM41" i="2"/>
  <c r="CM39" i="2"/>
  <c r="CM37" i="2"/>
  <c r="CP35" i="2"/>
  <c r="DA35" i="2" s="1"/>
  <c r="CM34" i="2"/>
  <c r="CM32" i="2"/>
  <c r="CO31" i="2"/>
  <c r="CP30" i="2"/>
  <c r="CL30" i="2"/>
  <c r="CK35" i="2"/>
  <c r="CP34" i="2"/>
  <c r="CL33" i="2"/>
  <c r="CJ31" i="2"/>
  <c r="CM30" i="2"/>
  <c r="CP46" i="2"/>
  <c r="CL45" i="2"/>
  <c r="CP44" i="2"/>
  <c r="CL43" i="2"/>
  <c r="CP42" i="2"/>
  <c r="CL41" i="2"/>
  <c r="CP40" i="2"/>
  <c r="CL39" i="2"/>
  <c r="CP38" i="2"/>
  <c r="CL37" i="2"/>
  <c r="CP36" i="2"/>
  <c r="CO35" i="2"/>
  <c r="CL34" i="2"/>
  <c r="CP33" i="2"/>
  <c r="CL32" i="2"/>
  <c r="CN31" i="2"/>
  <c r="CO30" i="2"/>
  <c r="CK30" i="2"/>
  <c r="CM46" i="2"/>
  <c r="CM44" i="2"/>
  <c r="CM42" i="2"/>
  <c r="CM40" i="2"/>
  <c r="CM38" i="2"/>
  <c r="CM36" i="2"/>
  <c r="CL35" i="2"/>
  <c r="CM33" i="2"/>
  <c r="CK31" i="2"/>
  <c r="CN30" i="2"/>
  <c r="CL44" i="2"/>
  <c r="CP43" i="2"/>
  <c r="CP41" i="2"/>
  <c r="CP39" i="2"/>
  <c r="CP37" i="2"/>
  <c r="CP32" i="2"/>
  <c r="CJ30" i="2"/>
  <c r="CL46" i="2"/>
  <c r="CP45" i="2"/>
  <c r="CL42" i="2"/>
  <c r="CL40" i="2"/>
  <c r="CL38" i="2"/>
  <c r="CL36" i="2"/>
  <c r="DC23" i="2"/>
  <c r="CG31" i="2"/>
  <c r="CG30" i="2"/>
  <c r="CG32" i="2"/>
  <c r="CG46" i="2"/>
  <c r="CG44" i="2"/>
  <c r="CG42" i="2"/>
  <c r="CG40" i="2"/>
  <c r="CG38" i="2"/>
  <c r="CG36" i="2"/>
  <c r="CG35" i="2"/>
  <c r="CG33" i="2"/>
  <c r="CG45" i="2"/>
  <c r="CG34" i="2"/>
  <c r="CG43" i="2"/>
  <c r="CG41" i="2"/>
  <c r="CG39" i="2"/>
  <c r="CG37" i="2"/>
  <c r="DC9" i="2"/>
  <c r="CI45" i="2"/>
  <c r="CI41" i="2"/>
  <c r="CI37" i="2"/>
  <c r="CI33" i="2"/>
  <c r="CI29" i="2"/>
  <c r="CI25" i="2"/>
  <c r="CI21" i="2"/>
  <c r="CI17" i="2"/>
  <c r="CI13" i="2"/>
  <c r="CI9" i="2"/>
  <c r="CI38" i="2"/>
  <c r="CI26" i="2"/>
  <c r="CI14" i="2"/>
  <c r="CI44" i="2"/>
  <c r="CI40" i="2"/>
  <c r="CI36" i="2"/>
  <c r="CI32" i="2"/>
  <c r="CI28" i="2"/>
  <c r="CI24" i="2"/>
  <c r="CI20" i="2"/>
  <c r="CI16" i="2"/>
  <c r="CI12" i="2"/>
  <c r="CI42" i="2"/>
  <c r="CI30" i="2"/>
  <c r="CI18" i="2"/>
  <c r="CI5" i="2"/>
  <c r="CI43" i="2"/>
  <c r="CI39" i="2"/>
  <c r="CI35" i="2"/>
  <c r="CI31" i="2"/>
  <c r="CI27" i="2"/>
  <c r="CI23" i="2"/>
  <c r="CI19" i="2"/>
  <c r="CI15" i="2"/>
  <c r="CI11" i="2"/>
  <c r="CI6" i="2"/>
  <c r="CI46" i="2"/>
  <c r="CI34" i="2"/>
  <c r="CI22" i="2"/>
  <c r="CI10" i="2"/>
  <c r="CH31" i="2"/>
  <c r="CH46" i="2"/>
  <c r="CS46" i="2" s="1"/>
  <c r="CH44" i="2"/>
  <c r="CS44" i="2" s="1"/>
  <c r="CH42" i="2"/>
  <c r="CS42" i="2" s="1"/>
  <c r="CH40" i="2"/>
  <c r="CS40" i="2" s="1"/>
  <c r="CH38" i="2"/>
  <c r="CS38" i="2" s="1"/>
  <c r="CH36" i="2"/>
  <c r="CS36" i="2" s="1"/>
  <c r="CH35" i="2"/>
  <c r="CH33" i="2"/>
  <c r="CS33" i="2" s="1"/>
  <c r="CH45" i="2"/>
  <c r="CS45" i="2" s="1"/>
  <c r="CH43" i="2"/>
  <c r="CS43" i="2" s="1"/>
  <c r="CH41" i="2"/>
  <c r="CS41" i="2" s="1"/>
  <c r="CH39" i="2"/>
  <c r="CS39" i="2" s="1"/>
  <c r="CH37" i="2"/>
  <c r="CS37" i="2" s="1"/>
  <c r="CH34" i="2"/>
  <c r="CS34" i="2" s="1"/>
  <c r="CH32" i="2"/>
  <c r="CS32" i="2" s="1"/>
  <c r="CH30" i="2"/>
  <c r="DC24" i="2"/>
  <c r="CI7" i="2"/>
  <c r="EZ17" i="2"/>
  <c r="FA17" i="2" s="1"/>
  <c r="EZ6" i="2"/>
  <c r="FA6" i="2" s="1"/>
  <c r="DC6" i="2"/>
  <c r="CC4" i="2"/>
  <c r="CP8" i="2" s="1"/>
  <c r="DC5" i="2"/>
  <c r="CG7" i="2"/>
  <c r="CK9" i="2"/>
  <c r="DC12" i="2"/>
  <c r="DC19" i="2"/>
  <c r="CH23" i="2"/>
  <c r="CS23" i="2" s="1"/>
  <c r="CG29" i="2"/>
  <c r="CG28" i="2"/>
  <c r="CG27" i="2"/>
  <c r="CG26" i="2"/>
  <c r="CG22" i="2"/>
  <c r="CG25" i="2"/>
  <c r="CG21" i="2"/>
  <c r="CG20" i="2"/>
  <c r="CG19" i="2"/>
  <c r="CG18" i="2"/>
  <c r="CG17" i="2"/>
  <c r="CG24" i="2"/>
  <c r="CG15" i="2"/>
  <c r="CG14" i="2"/>
  <c r="CG13" i="2"/>
  <c r="CG12" i="2"/>
  <c r="CG11" i="2"/>
  <c r="CD4" i="2"/>
  <c r="CN5" i="2"/>
  <c r="CG6" i="2"/>
  <c r="CH7" i="2"/>
  <c r="CL7" i="2"/>
  <c r="CH9" i="2"/>
  <c r="CL9" i="2"/>
  <c r="CH10" i="2"/>
  <c r="CN12" i="2"/>
  <c r="CJ15" i="2"/>
  <c r="CN19" i="2"/>
  <c r="DC21" i="2"/>
  <c r="DC17" i="2"/>
  <c r="DC22" i="2"/>
  <c r="CG9" i="2"/>
  <c r="CG10" i="2"/>
  <c r="DC14" i="2"/>
  <c r="CH29" i="2"/>
  <c r="CS29" i="2" s="1"/>
  <c r="CH28" i="2"/>
  <c r="CS28" i="2" s="1"/>
  <c r="CH27" i="2"/>
  <c r="CS27" i="2" s="1"/>
  <c r="CH26" i="2"/>
  <c r="CS26" i="2" s="1"/>
  <c r="CH25" i="2"/>
  <c r="CS25" i="2" s="1"/>
  <c r="CH22" i="2"/>
  <c r="CS22" i="2" s="1"/>
  <c r="CH21" i="2"/>
  <c r="CS21" i="2" s="1"/>
  <c r="CH20" i="2"/>
  <c r="CS20" i="2" s="1"/>
  <c r="CH19" i="2"/>
  <c r="CS19" i="2" s="1"/>
  <c r="CH18" i="2"/>
  <c r="CS18" i="2" s="1"/>
  <c r="CH17" i="2"/>
  <c r="CS17" i="2" s="1"/>
  <c r="CH24" i="2"/>
  <c r="CS24" i="2" s="1"/>
  <c r="CH15" i="2"/>
  <c r="CS15" i="2" s="1"/>
  <c r="CH14" i="2"/>
  <c r="CS14" i="2" s="1"/>
  <c r="CH13" i="2"/>
  <c r="CS13" i="2" s="1"/>
  <c r="CH12" i="2"/>
  <c r="CS12" i="2" s="1"/>
  <c r="CH11" i="2"/>
  <c r="CE4" i="2"/>
  <c r="CG5" i="2"/>
  <c r="CK5" i="2"/>
  <c r="CH6" i="2"/>
  <c r="CM7" i="2"/>
  <c r="DC11" i="2"/>
  <c r="CM13" i="2"/>
  <c r="DC13" i="2"/>
  <c r="DC15" i="2"/>
  <c r="CN21" i="2"/>
  <c r="CM23" i="2"/>
  <c r="CG23" i="2"/>
  <c r="DC16" i="2"/>
  <c r="DC18" i="2"/>
  <c r="DC20" i="2"/>
  <c r="CG16" i="2"/>
  <c r="CK16" i="2"/>
  <c r="CH16" i="2"/>
  <c r="CS16" i="2" s="1"/>
  <c r="CL16" i="2"/>
  <c r="DC25" i="2"/>
  <c r="DC26" i="2"/>
  <c r="DC27" i="2"/>
  <c r="DC28" i="2"/>
  <c r="DC29" i="2"/>
  <c r="CH8" i="2" l="1"/>
  <c r="CK8" i="2"/>
  <c r="CN49" i="2"/>
  <c r="CY49" i="2" s="1"/>
  <c r="CJ49" i="2"/>
  <c r="CU49" i="2" s="1"/>
  <c r="CP48" i="2"/>
  <c r="DA48" i="2" s="1"/>
  <c r="CL48" i="2"/>
  <c r="CW48" i="2" s="1"/>
  <c r="CH48" i="2"/>
  <c r="CS48" i="2" s="1"/>
  <c r="CK49" i="2"/>
  <c r="CV49" i="2" s="1"/>
  <c r="CI48" i="2"/>
  <c r="CT48" i="2" s="1"/>
  <c r="CM49" i="2"/>
  <c r="CX49" i="2" s="1"/>
  <c r="CI49" i="2"/>
  <c r="CT49" i="2" s="1"/>
  <c r="CO48" i="2"/>
  <c r="CZ48" i="2" s="1"/>
  <c r="CK48" i="2"/>
  <c r="CV48" i="2" s="1"/>
  <c r="CO49" i="2"/>
  <c r="CZ49" i="2" s="1"/>
  <c r="CM48" i="2"/>
  <c r="CX48" i="2" s="1"/>
  <c r="CP49" i="2"/>
  <c r="DA49" i="2" s="1"/>
  <c r="CL49" i="2"/>
  <c r="CW49" i="2" s="1"/>
  <c r="CH49" i="2"/>
  <c r="CS49" i="2" s="1"/>
  <c r="CN48" i="2"/>
  <c r="CY48" i="2" s="1"/>
  <c r="CJ48" i="2"/>
  <c r="CU48" i="2" s="1"/>
  <c r="CR49" i="2"/>
  <c r="CQ49" i="2"/>
  <c r="DL49" i="2"/>
  <c r="DM48" i="2"/>
  <c r="DL48" i="2"/>
  <c r="DM49" i="2"/>
  <c r="DH49" i="2"/>
  <c r="DD49" i="2"/>
  <c r="DI48" i="2"/>
  <c r="DE48" i="2"/>
  <c r="DE49" i="2"/>
  <c r="DK49" i="2"/>
  <c r="DG49" i="2"/>
  <c r="DH48" i="2"/>
  <c r="DD48" i="2"/>
  <c r="DJ48" i="2"/>
  <c r="DJ49" i="2"/>
  <c r="DF49" i="2"/>
  <c r="DK48" i="2"/>
  <c r="DG48" i="2"/>
  <c r="DI49" i="2"/>
  <c r="DF48" i="2"/>
  <c r="CR48" i="2"/>
  <c r="CQ47" i="2"/>
  <c r="AS47" i="2" s="1"/>
  <c r="AT47" i="2" s="1"/>
  <c r="DM47" i="2"/>
  <c r="DL47" i="2"/>
  <c r="DJ47" i="2"/>
  <c r="DF47" i="2"/>
  <c r="DI47" i="2"/>
  <c r="DE47" i="2"/>
  <c r="DH47" i="2"/>
  <c r="DD47" i="2"/>
  <c r="DK47" i="2"/>
  <c r="DG47" i="2"/>
  <c r="DG8" i="2"/>
  <c r="DK8" i="2"/>
  <c r="DF8" i="2"/>
  <c r="DD8" i="2"/>
  <c r="DH8" i="2"/>
  <c r="DE8" i="2"/>
  <c r="DI8" i="2"/>
  <c r="DJ8" i="2"/>
  <c r="CQ8" i="2"/>
  <c r="AS8" i="2" s="1"/>
  <c r="AT8" i="2" s="1"/>
  <c r="DL8" i="2"/>
  <c r="DM8" i="2"/>
  <c r="CQ40" i="2"/>
  <c r="CQ33" i="2"/>
  <c r="CQ43" i="2"/>
  <c r="CQ35" i="2"/>
  <c r="CQ42" i="2"/>
  <c r="CQ30" i="2"/>
  <c r="CQ32" i="2"/>
  <c r="CQ37" i="2"/>
  <c r="CQ34" i="2"/>
  <c r="CQ36" i="2"/>
  <c r="CQ44" i="2"/>
  <c r="CQ31" i="2"/>
  <c r="CQ41" i="2"/>
  <c r="DM46" i="2"/>
  <c r="DM45" i="2"/>
  <c r="DM44" i="2"/>
  <c r="DM43" i="2"/>
  <c r="DM42" i="2"/>
  <c r="DM41" i="2"/>
  <c r="DM40" i="2"/>
  <c r="DM39" i="2"/>
  <c r="DM38" i="2"/>
  <c r="DM37" i="2"/>
  <c r="DM36" i="2"/>
  <c r="DM35" i="2"/>
  <c r="DM34" i="2"/>
  <c r="DM33" i="2"/>
  <c r="DM32" i="2"/>
  <c r="DM31" i="2"/>
  <c r="DL30" i="2"/>
  <c r="DL46" i="2"/>
  <c r="DL45" i="2"/>
  <c r="DL44" i="2"/>
  <c r="DL43" i="2"/>
  <c r="DL42" i="2"/>
  <c r="DL41" i="2"/>
  <c r="DL40" i="2"/>
  <c r="DL39" i="2"/>
  <c r="DL38" i="2"/>
  <c r="DL37" i="2"/>
  <c r="DL36" i="2"/>
  <c r="DL35" i="2"/>
  <c r="DL34" i="2"/>
  <c r="DL33" i="2"/>
  <c r="DL32" i="2"/>
  <c r="DL31" i="2"/>
  <c r="DM30" i="2"/>
  <c r="CO24" i="2"/>
  <c r="DI46" i="2"/>
  <c r="DE46" i="2"/>
  <c r="DI45" i="2"/>
  <c r="DE45" i="2"/>
  <c r="DI44" i="2"/>
  <c r="DE44" i="2"/>
  <c r="DI43" i="2"/>
  <c r="DE43" i="2"/>
  <c r="DI42" i="2"/>
  <c r="DE42" i="2"/>
  <c r="DI41" i="2"/>
  <c r="DE41" i="2"/>
  <c r="DI40" i="2"/>
  <c r="DE40" i="2"/>
  <c r="DI39" i="2"/>
  <c r="DE39" i="2"/>
  <c r="DI38" i="2"/>
  <c r="DE38" i="2"/>
  <c r="DI37" i="2"/>
  <c r="DE37" i="2"/>
  <c r="DI36" i="2"/>
  <c r="DE36" i="2"/>
  <c r="DI35" i="2"/>
  <c r="DE35" i="2"/>
  <c r="DI34" i="2"/>
  <c r="DE34" i="2"/>
  <c r="DI33" i="2"/>
  <c r="DE33" i="2"/>
  <c r="DI32" i="2"/>
  <c r="DE32" i="2"/>
  <c r="DI31" i="2"/>
  <c r="DE31" i="2"/>
  <c r="DH30" i="2"/>
  <c r="DH46" i="2"/>
  <c r="DD46" i="2"/>
  <c r="DH45" i="2"/>
  <c r="DD45" i="2"/>
  <c r="DH44" i="2"/>
  <c r="DD44" i="2"/>
  <c r="DH43" i="2"/>
  <c r="DD43" i="2"/>
  <c r="DH42" i="2"/>
  <c r="DD42" i="2"/>
  <c r="DH41" i="2"/>
  <c r="DD41" i="2"/>
  <c r="DH40" i="2"/>
  <c r="DD40" i="2"/>
  <c r="DH39" i="2"/>
  <c r="DD39" i="2"/>
  <c r="DH38" i="2"/>
  <c r="DD38" i="2"/>
  <c r="DH37" i="2"/>
  <c r="DD37" i="2"/>
  <c r="DH36" i="2"/>
  <c r="DD36" i="2"/>
  <c r="DH35" i="2"/>
  <c r="DD35" i="2"/>
  <c r="DH34" i="2"/>
  <c r="DD34" i="2"/>
  <c r="DH33" i="2"/>
  <c r="DD33" i="2"/>
  <c r="DH32" i="2"/>
  <c r="DD32" i="2"/>
  <c r="DH31" i="2"/>
  <c r="DD31" i="2"/>
  <c r="DK30" i="2"/>
  <c r="DG30" i="2"/>
  <c r="DK46" i="2"/>
  <c r="DG45" i="2"/>
  <c r="DK44" i="2"/>
  <c r="DG43" i="2"/>
  <c r="DK42" i="2"/>
  <c r="DG41" i="2"/>
  <c r="DK40" i="2"/>
  <c r="DG39" i="2"/>
  <c r="DK38" i="2"/>
  <c r="DG37" i="2"/>
  <c r="DK36" i="2"/>
  <c r="DG35" i="2"/>
  <c r="DG34" i="2"/>
  <c r="DK33" i="2"/>
  <c r="DG32" i="2"/>
  <c r="DK31" i="2"/>
  <c r="DF30" i="2"/>
  <c r="DJ41" i="2"/>
  <c r="DJ39" i="2"/>
  <c r="DF38" i="2"/>
  <c r="DJ37" i="2"/>
  <c r="DF36" i="2"/>
  <c r="DJ46" i="2"/>
  <c r="DF45" i="2"/>
  <c r="DJ44" i="2"/>
  <c r="DF43" i="2"/>
  <c r="DJ42" i="2"/>
  <c r="DF41" i="2"/>
  <c r="DJ40" i="2"/>
  <c r="DF39" i="2"/>
  <c r="DJ38" i="2"/>
  <c r="DF37" i="2"/>
  <c r="DJ36" i="2"/>
  <c r="DF35" i="2"/>
  <c r="DF34" i="2"/>
  <c r="DJ33" i="2"/>
  <c r="DF32" i="2"/>
  <c r="DJ31" i="2"/>
  <c r="DE30" i="2"/>
  <c r="DG46" i="2"/>
  <c r="DK45" i="2"/>
  <c r="DG44" i="2"/>
  <c r="DK43" i="2"/>
  <c r="DG42" i="2"/>
  <c r="DK41" i="2"/>
  <c r="DG40" i="2"/>
  <c r="DK39" i="2"/>
  <c r="DG38" i="2"/>
  <c r="DK37" i="2"/>
  <c r="DG36" i="2"/>
  <c r="DK35" i="2"/>
  <c r="DK34" i="2"/>
  <c r="DG33" i="2"/>
  <c r="DD30" i="2"/>
  <c r="DF46" i="2"/>
  <c r="DF42" i="2"/>
  <c r="DF40" i="2"/>
  <c r="DJ35" i="2"/>
  <c r="DI30" i="2"/>
  <c r="DK32" i="2"/>
  <c r="DG31" i="2"/>
  <c r="DJ30" i="2"/>
  <c r="DJ45" i="2"/>
  <c r="DF44" i="2"/>
  <c r="DJ43" i="2"/>
  <c r="DJ34" i="2"/>
  <c r="DF33" i="2"/>
  <c r="DJ32" i="2"/>
  <c r="DF31" i="2"/>
  <c r="CQ39" i="2"/>
  <c r="CQ45" i="2"/>
  <c r="CQ38" i="2"/>
  <c r="CQ46" i="2"/>
  <c r="CN29" i="2"/>
  <c r="DJ29" i="2"/>
  <c r="DF29" i="2"/>
  <c r="DJ28" i="2"/>
  <c r="DF28" i="2"/>
  <c r="DJ27" i="2"/>
  <c r="DF27" i="2"/>
  <c r="DJ26" i="2"/>
  <c r="DF26" i="2"/>
  <c r="DI29" i="2"/>
  <c r="DE29" i="2"/>
  <c r="DI28" i="2"/>
  <c r="DE28" i="2"/>
  <c r="DI27" i="2"/>
  <c r="DE27" i="2"/>
  <c r="DI26" i="2"/>
  <c r="DE26" i="2"/>
  <c r="DK29" i="2"/>
  <c r="DG29" i="2"/>
  <c r="DK28" i="2"/>
  <c r="DG28" i="2"/>
  <c r="DK27" i="2"/>
  <c r="DG27" i="2"/>
  <c r="DK26" i="2"/>
  <c r="DG26" i="2"/>
  <c r="DH25" i="2"/>
  <c r="DD25" i="2"/>
  <c r="DH24" i="2"/>
  <c r="DD24" i="2"/>
  <c r="DH23" i="2"/>
  <c r="DD23" i="2"/>
  <c r="DI22" i="2"/>
  <c r="DE22" i="2"/>
  <c r="DH29" i="2"/>
  <c r="DH28" i="2"/>
  <c r="DH27" i="2"/>
  <c r="DH26" i="2"/>
  <c r="DK25" i="2"/>
  <c r="DG25" i="2"/>
  <c r="DK24" i="2"/>
  <c r="DG24" i="2"/>
  <c r="DK23" i="2"/>
  <c r="DG23" i="2"/>
  <c r="DH22" i="2"/>
  <c r="DD22" i="2"/>
  <c r="DD29" i="2"/>
  <c r="DF25" i="2"/>
  <c r="DI24" i="2"/>
  <c r="DJ23" i="2"/>
  <c r="DF22" i="2"/>
  <c r="DJ21" i="2"/>
  <c r="DF21" i="2"/>
  <c r="DJ20" i="2"/>
  <c r="DF20" i="2"/>
  <c r="DJ19" i="2"/>
  <c r="DF19" i="2"/>
  <c r="DJ18" i="2"/>
  <c r="DF18" i="2"/>
  <c r="DJ17" i="2"/>
  <c r="DF17" i="2"/>
  <c r="DJ16" i="2"/>
  <c r="DF16" i="2"/>
  <c r="DK15" i="2"/>
  <c r="DG15" i="2"/>
  <c r="DD26" i="2"/>
  <c r="DE25" i="2"/>
  <c r="DF24" i="2"/>
  <c r="DI23" i="2"/>
  <c r="DK22" i="2"/>
  <c r="DI21" i="2"/>
  <c r="DE21" i="2"/>
  <c r="DI20" i="2"/>
  <c r="DE20" i="2"/>
  <c r="DI19" i="2"/>
  <c r="DE19" i="2"/>
  <c r="DI18" i="2"/>
  <c r="DE18" i="2"/>
  <c r="DI17" i="2"/>
  <c r="DE17" i="2"/>
  <c r="DI16" i="2"/>
  <c r="DE16" i="2"/>
  <c r="DJ15" i="2"/>
  <c r="DF15" i="2"/>
  <c r="DD27" i="2"/>
  <c r="DJ25" i="2"/>
  <c r="DG22" i="2"/>
  <c r="DH21" i="2"/>
  <c r="DD20" i="2"/>
  <c r="DH19" i="2"/>
  <c r="DD18" i="2"/>
  <c r="DH17" i="2"/>
  <c r="DD16" i="2"/>
  <c r="DD15" i="2"/>
  <c r="DJ14" i="2"/>
  <c r="DF14" i="2"/>
  <c r="DJ13" i="2"/>
  <c r="DF13" i="2"/>
  <c r="DJ12" i="2"/>
  <c r="DF12" i="2"/>
  <c r="DJ11" i="2"/>
  <c r="DF11" i="2"/>
  <c r="DD28" i="2"/>
  <c r="DI25" i="2"/>
  <c r="DF23" i="2"/>
  <c r="DG21" i="2"/>
  <c r="DK20" i="2"/>
  <c r="DG19" i="2"/>
  <c r="DK18" i="2"/>
  <c r="DG17" i="2"/>
  <c r="DK16" i="2"/>
  <c r="DI15" i="2"/>
  <c r="DI14" i="2"/>
  <c r="DE14" i="2"/>
  <c r="DI13" i="2"/>
  <c r="DE13" i="2"/>
  <c r="DI12" i="2"/>
  <c r="DE12" i="2"/>
  <c r="DI11" i="2"/>
  <c r="DE11" i="2"/>
  <c r="DD21" i="2"/>
  <c r="DK19" i="2"/>
  <c r="DG18" i="2"/>
  <c r="DH16" i="2"/>
  <c r="DE15" i="2"/>
  <c r="DG14" i="2"/>
  <c r="DK13" i="2"/>
  <c r="DG12" i="2"/>
  <c r="DK11" i="2"/>
  <c r="DK10" i="2"/>
  <c r="DG10" i="2"/>
  <c r="DK9" i="2"/>
  <c r="DG9" i="2"/>
  <c r="DK7" i="2"/>
  <c r="DG7" i="2"/>
  <c r="DJ6" i="2"/>
  <c r="DF6" i="2"/>
  <c r="DI5" i="2"/>
  <c r="DE5" i="2"/>
  <c r="DJ24" i="2"/>
  <c r="DK12" i="2"/>
  <c r="DI10" i="2"/>
  <c r="DE9" i="2"/>
  <c r="DE7" i="2"/>
  <c r="DG5" i="2"/>
  <c r="DE23" i="2"/>
  <c r="DK21" i="2"/>
  <c r="DJ22" i="2"/>
  <c r="DD19" i="2"/>
  <c r="DK17" i="2"/>
  <c r="DG16" i="2"/>
  <c r="DD14" i="2"/>
  <c r="DH13" i="2"/>
  <c r="DD12" i="2"/>
  <c r="DH11" i="2"/>
  <c r="DJ10" i="2"/>
  <c r="DF10" i="2"/>
  <c r="DJ9" i="2"/>
  <c r="DF9" i="2"/>
  <c r="DJ7" i="2"/>
  <c r="DF7" i="2"/>
  <c r="DI6" i="2"/>
  <c r="DE6" i="2"/>
  <c r="DH5" i="2"/>
  <c r="DD5" i="2"/>
  <c r="DH20" i="2"/>
  <c r="DD17" i="2"/>
  <c r="DK14" i="2"/>
  <c r="DG13" i="2"/>
  <c r="DG11" i="2"/>
  <c r="DE10" i="2"/>
  <c r="DI9" i="2"/>
  <c r="DI7" i="2"/>
  <c r="DH6" i="2"/>
  <c r="DD6" i="2"/>
  <c r="DK5" i="2"/>
  <c r="DE24" i="2"/>
  <c r="DG20" i="2"/>
  <c r="DH18" i="2"/>
  <c r="DH15" i="2"/>
  <c r="DH14" i="2"/>
  <c r="DD13" i="2"/>
  <c r="DH7" i="2"/>
  <c r="DG6" i="2"/>
  <c r="DF5" i="2"/>
  <c r="DD7" i="2"/>
  <c r="CN13" i="2"/>
  <c r="DH12" i="2"/>
  <c r="DH10" i="2"/>
  <c r="DH9" i="2"/>
  <c r="CN7" i="2"/>
  <c r="CH5" i="2"/>
  <c r="DD11" i="2"/>
  <c r="DD10" i="2"/>
  <c r="CN10" i="2"/>
  <c r="DD9" i="2"/>
  <c r="CN9" i="2"/>
  <c r="CJ7" i="2"/>
  <c r="DK6" i="2"/>
  <c r="DJ5" i="2"/>
  <c r="CM18" i="2"/>
  <c r="CP13" i="2"/>
  <c r="CP15" i="2"/>
  <c r="CN26" i="2"/>
  <c r="CO20" i="2"/>
  <c r="CL17" i="2"/>
  <c r="CL21" i="2"/>
  <c r="CP25" i="2"/>
  <c r="CO22" i="2"/>
  <c r="CM29" i="2"/>
  <c r="CO27" i="2"/>
  <c r="CP27" i="2"/>
  <c r="CP29" i="2"/>
  <c r="CN11" i="2"/>
  <c r="CJ14" i="2"/>
  <c r="CK23" i="2"/>
  <c r="CJ20" i="2"/>
  <c r="CJ28" i="2"/>
  <c r="CM14" i="2"/>
  <c r="CJ11" i="2"/>
  <c r="CJ5" i="2"/>
  <c r="CJ6" i="2"/>
  <c r="CK13" i="2"/>
  <c r="CM20" i="2"/>
  <c r="CL14" i="2"/>
  <c r="CN20" i="2"/>
  <c r="CK17" i="2"/>
  <c r="CK21" i="2"/>
  <c r="CP17" i="2"/>
  <c r="CP21" i="2"/>
  <c r="CJ26" i="2"/>
  <c r="CJ24" i="2"/>
  <c r="CM26" i="2"/>
  <c r="CK26" i="2"/>
  <c r="CK28" i="2"/>
  <c r="CL26" i="2"/>
  <c r="CP5" i="2"/>
  <c r="CL5" i="2"/>
  <c r="CL25" i="2"/>
  <c r="CL23" i="2"/>
  <c r="CN23" i="2"/>
  <c r="CM11" i="2"/>
  <c r="CM10" i="2"/>
  <c r="CM9" i="2"/>
  <c r="CP6" i="2"/>
  <c r="CK7" i="2"/>
  <c r="CM5" i="2"/>
  <c r="CJ29" i="2"/>
  <c r="CP16" i="2"/>
  <c r="CN14" i="2"/>
  <c r="CP10" i="2"/>
  <c r="CO6" i="2"/>
  <c r="DM29" i="2"/>
  <c r="DM28" i="2"/>
  <c r="DM27" i="2"/>
  <c r="DM26" i="2"/>
  <c r="DM25" i="2"/>
  <c r="DL29" i="2"/>
  <c r="DL28" i="2"/>
  <c r="DL27" i="2"/>
  <c r="DL26" i="2"/>
  <c r="DL25" i="2"/>
  <c r="DL24" i="2"/>
  <c r="DL23" i="2"/>
  <c r="DM22" i="2"/>
  <c r="DL22" i="2"/>
  <c r="DM21" i="2"/>
  <c r="DM20" i="2"/>
  <c r="DM19" i="2"/>
  <c r="DM18" i="2"/>
  <c r="DM17" i="2"/>
  <c r="DM16" i="2"/>
  <c r="DM23" i="2"/>
  <c r="DL20" i="2"/>
  <c r="DL18" i="2"/>
  <c r="DL16" i="2"/>
  <c r="DL15" i="2"/>
  <c r="DM24" i="2"/>
  <c r="DM14" i="2"/>
  <c r="DM13" i="2"/>
  <c r="DM12" i="2"/>
  <c r="DM11" i="2"/>
  <c r="DL17" i="2"/>
  <c r="DM5" i="2"/>
  <c r="DL21" i="2"/>
  <c r="DM15" i="2"/>
  <c r="DM9" i="2"/>
  <c r="DM7" i="2"/>
  <c r="DL6" i="2"/>
  <c r="DL14" i="2"/>
  <c r="DL12" i="2"/>
  <c r="DM6" i="2"/>
  <c r="DL5" i="2"/>
  <c r="DM10" i="2"/>
  <c r="DL19" i="2"/>
  <c r="DL10" i="2"/>
  <c r="DL9" i="2"/>
  <c r="DL11" i="2"/>
  <c r="DL13" i="2"/>
  <c r="DL7" i="2"/>
  <c r="CJ16" i="2"/>
  <c r="CM12" i="2"/>
  <c r="CO11" i="2"/>
  <c r="CO13" i="2"/>
  <c r="CO15" i="2"/>
  <c r="CL22" i="2"/>
  <c r="CP12" i="2"/>
  <c r="CP14" i="2"/>
  <c r="CJ17" i="2"/>
  <c r="CJ21" i="2"/>
  <c r="CO17" i="2"/>
  <c r="CO19" i="2"/>
  <c r="CO21" i="2"/>
  <c r="CJ27" i="2"/>
  <c r="CL18" i="2"/>
  <c r="CL20" i="2"/>
  <c r="CP22" i="2"/>
  <c r="CN27" i="2"/>
  <c r="CM25" i="2"/>
  <c r="CN24" i="2"/>
  <c r="CM27" i="2"/>
  <c r="CO26" i="2"/>
  <c r="CO28" i="2"/>
  <c r="CP26" i="2"/>
  <c r="CP28" i="2"/>
  <c r="CJ10" i="2"/>
  <c r="CJ12" i="2"/>
  <c r="CN15" i="2"/>
  <c r="CO12" i="2"/>
  <c r="CO14" i="2"/>
  <c r="CP11" i="2"/>
  <c r="CJ19" i="2"/>
  <c r="CO18" i="2"/>
  <c r="CP24" i="2"/>
  <c r="CL19" i="2"/>
  <c r="CN22" i="2"/>
  <c r="CN25" i="2"/>
  <c r="CO29" i="2"/>
  <c r="CJ23" i="2"/>
  <c r="CM15" i="2"/>
  <c r="CN17" i="2"/>
  <c r="CO10" i="2"/>
  <c r="CO23" i="2"/>
  <c r="CJ18" i="2"/>
  <c r="CK11" i="2"/>
  <c r="CK15" i="2"/>
  <c r="CL12" i="2"/>
  <c r="CN16" i="2"/>
  <c r="CK19" i="2"/>
  <c r="CO25" i="2"/>
  <c r="CP19" i="2"/>
  <c r="CM24" i="2"/>
  <c r="CL28" i="2"/>
  <c r="CO16" i="2"/>
  <c r="CP23" i="2"/>
  <c r="CL6" i="2"/>
  <c r="CO5" i="2"/>
  <c r="CM19" i="2"/>
  <c r="CO9" i="2"/>
  <c r="CN6" i="2"/>
  <c r="CK25" i="2"/>
  <c r="CM21" i="2"/>
  <c r="CJ13" i="2"/>
  <c r="CL10" i="2"/>
  <c r="CP9" i="2"/>
  <c r="CP7" i="2"/>
  <c r="CK6" i="2"/>
  <c r="CK10" i="2"/>
  <c r="CO7" i="2"/>
  <c r="CK12" i="2"/>
  <c r="CK14" i="2"/>
  <c r="CM16" i="2"/>
  <c r="CL11" i="2"/>
  <c r="CL13" i="2"/>
  <c r="CL15" i="2"/>
  <c r="CN18" i="2"/>
  <c r="CL24" i="2"/>
  <c r="CK18" i="2"/>
  <c r="CK20" i="2"/>
  <c r="CM22" i="2"/>
  <c r="CN28" i="2"/>
  <c r="CP18" i="2"/>
  <c r="CP20" i="2"/>
  <c r="CK24" i="2"/>
  <c r="CJ22" i="2"/>
  <c r="CK22" i="2"/>
  <c r="CJ25" i="2"/>
  <c r="CM28" i="2"/>
  <c r="CK27" i="2"/>
  <c r="CK29" i="2"/>
  <c r="CL27" i="2"/>
  <c r="CL29" i="2"/>
  <c r="CJ9" i="2"/>
  <c r="CM6" i="2"/>
  <c r="CM17" i="2"/>
  <c r="DO49" i="2" l="1"/>
  <c r="DZ49" i="2" s="1"/>
  <c r="EK49" i="2" s="1"/>
  <c r="DW49" i="2"/>
  <c r="EH49" i="2" s="1"/>
  <c r="ES49" i="2" s="1"/>
  <c r="AS44" i="2"/>
  <c r="AT44" i="2" s="1"/>
  <c r="AS34" i="2"/>
  <c r="AT34" i="2" s="1"/>
  <c r="AS40" i="2"/>
  <c r="AT40" i="2" s="1"/>
  <c r="AS38" i="2"/>
  <c r="AT38" i="2" s="1"/>
  <c r="AS30" i="2"/>
  <c r="AT30" i="2" s="1"/>
  <c r="AS35" i="2"/>
  <c r="AT35" i="2" s="1"/>
  <c r="AS33" i="2"/>
  <c r="AT33" i="2" s="1"/>
  <c r="AS46" i="2"/>
  <c r="AT46" i="2" s="1"/>
  <c r="AS45" i="2"/>
  <c r="AT45" i="2" s="1"/>
  <c r="AS41" i="2"/>
  <c r="AT41" i="2" s="1"/>
  <c r="AS37" i="2"/>
  <c r="AT37" i="2" s="1"/>
  <c r="DV48" i="2"/>
  <c r="EG48" i="2" s="1"/>
  <c r="ER48" i="2" s="1"/>
  <c r="AS39" i="2"/>
  <c r="AT39" i="2" s="1"/>
  <c r="AS31" i="2"/>
  <c r="AT31" i="2" s="1"/>
  <c r="AS36" i="2"/>
  <c r="AT36" i="2" s="1"/>
  <c r="AS32" i="2"/>
  <c r="AT32" i="2" s="1"/>
  <c r="AS42" i="2"/>
  <c r="AT42" i="2" s="1"/>
  <c r="AS43" i="2"/>
  <c r="AT43" i="2" s="1"/>
  <c r="DQ49" i="2"/>
  <c r="EB49" i="2" s="1"/>
  <c r="EM49" i="2" s="1"/>
  <c r="DT49" i="2"/>
  <c r="EE49" i="2" s="1"/>
  <c r="EP49" i="2" s="1"/>
  <c r="DU48" i="2"/>
  <c r="EF48" i="2" s="1"/>
  <c r="EQ48" i="2" s="1"/>
  <c r="CQ48" i="2"/>
  <c r="DW48" i="2"/>
  <c r="EH48" i="2" s="1"/>
  <c r="ES48" i="2" s="1"/>
  <c r="DO48" i="2"/>
  <c r="DZ48" i="2" s="1"/>
  <c r="EK48" i="2" s="1"/>
  <c r="DN49" i="2"/>
  <c r="DB49" i="2"/>
  <c r="DR48" i="2"/>
  <c r="EC48" i="2" s="1"/>
  <c r="EN48" i="2" s="1"/>
  <c r="DQ48" i="2"/>
  <c r="EB48" i="2" s="1"/>
  <c r="EM48" i="2" s="1"/>
  <c r="DS49" i="2"/>
  <c r="DP48" i="2"/>
  <c r="EA48" i="2" s="1"/>
  <c r="EL48" i="2" s="1"/>
  <c r="DV49" i="2"/>
  <c r="DU49" i="2"/>
  <c r="EF49" i="2" s="1"/>
  <c r="EQ49" i="2" s="1"/>
  <c r="DB48" i="2"/>
  <c r="DN48" i="2"/>
  <c r="DT48" i="2"/>
  <c r="EE48" i="2" s="1"/>
  <c r="EP48" i="2" s="1"/>
  <c r="DP49" i="2"/>
  <c r="EA49" i="2" s="1"/>
  <c r="EL49" i="2" s="1"/>
  <c r="DS48" i="2"/>
  <c r="ED48" i="2" s="1"/>
  <c r="EO48" i="2" s="1"/>
  <c r="DR49" i="2"/>
  <c r="AS53" i="2"/>
  <c r="AT53" i="2"/>
  <c r="CQ29" i="2"/>
  <c r="CQ26" i="2"/>
  <c r="CQ27" i="2"/>
  <c r="AS27" i="2" s="1"/>
  <c r="AT27" i="2" s="1"/>
  <c r="CQ28" i="2"/>
  <c r="CQ25" i="2"/>
  <c r="CQ24" i="2"/>
  <c r="CQ21" i="2"/>
  <c r="CQ23" i="2"/>
  <c r="CQ22" i="2"/>
  <c r="CQ18" i="2"/>
  <c r="CQ19" i="2"/>
  <c r="CQ20" i="2"/>
  <c r="CQ15" i="2"/>
  <c r="CQ17" i="2"/>
  <c r="CQ16" i="2"/>
  <c r="CQ14" i="2"/>
  <c r="CQ13" i="2"/>
  <c r="CQ12" i="2"/>
  <c r="CQ11" i="2"/>
  <c r="CQ10" i="2"/>
  <c r="CQ9" i="2"/>
  <c r="AS9" i="2" s="1"/>
  <c r="AT9" i="2" s="1"/>
  <c r="CQ7" i="2"/>
  <c r="EY7" i="2"/>
  <c r="EZ7" i="2" s="1"/>
  <c r="FA7" i="2" s="1"/>
  <c r="CQ6" i="2"/>
  <c r="CQ5" i="2"/>
  <c r="AS5" i="2" s="1"/>
  <c r="AT5" i="2" l="1"/>
  <c r="AS7" i="2"/>
  <c r="AT7" i="2" s="1"/>
  <c r="AS18" i="2"/>
  <c r="AT18" i="2" s="1"/>
  <c r="AS13" i="2"/>
  <c r="AT13" i="2" s="1"/>
  <c r="AS22" i="2"/>
  <c r="AT22" i="2" s="1"/>
  <c r="AS25" i="2"/>
  <c r="AT25" i="2" s="1"/>
  <c r="AS12" i="2"/>
  <c r="AT12" i="2" s="1"/>
  <c r="AS24" i="2"/>
  <c r="AT24" i="2" s="1"/>
  <c r="AS29" i="2"/>
  <c r="AT29" i="2" s="1"/>
  <c r="AS15" i="2"/>
  <c r="AT15" i="2" s="1"/>
  <c r="AS6" i="2"/>
  <c r="AT6" i="2" s="1"/>
  <c r="AS10" i="2"/>
  <c r="AT10" i="2" s="1"/>
  <c r="AS14" i="2"/>
  <c r="AT14" i="2" s="1"/>
  <c r="AS20" i="2"/>
  <c r="AT20" i="2" s="1"/>
  <c r="AS23" i="2"/>
  <c r="AT23" i="2" s="1"/>
  <c r="AS28" i="2"/>
  <c r="AT28" i="2" s="1"/>
  <c r="AS17" i="2"/>
  <c r="AT17" i="2" s="1"/>
  <c r="AS26" i="2"/>
  <c r="AT26" i="2" s="1"/>
  <c r="AS11" i="2"/>
  <c r="AT11" i="2" s="1"/>
  <c r="AS16" i="2"/>
  <c r="AT16" i="2" s="1"/>
  <c r="AS19" i="2"/>
  <c r="AT19" i="2" s="1"/>
  <c r="AS21" i="2"/>
  <c r="AT21" i="2" s="1"/>
  <c r="DX48" i="2"/>
  <c r="DY48" i="2"/>
  <c r="EC49" i="2"/>
  <c r="EN49" i="2" s="1"/>
  <c r="EG49" i="2"/>
  <c r="ER49" i="2" s="1"/>
  <c r="ED49" i="2"/>
  <c r="EO49" i="2" s="1"/>
  <c r="DY49" i="2"/>
  <c r="EI49" i="2" s="1"/>
  <c r="DX49" i="2"/>
  <c r="E5" i="50" l="1"/>
  <c r="F5" i="50"/>
  <c r="AS52" i="2"/>
  <c r="AS51" i="2"/>
  <c r="EJ48" i="2"/>
  <c r="ET48" i="2" s="1"/>
  <c r="EI48" i="2"/>
  <c r="EJ49" i="2"/>
  <c r="ET49" i="2" s="1"/>
  <c r="AT51" i="2"/>
  <c r="AT52" i="2"/>
  <c r="AU6" i="37"/>
  <c r="AQ6" i="37"/>
  <c r="P5" i="37"/>
  <c r="P6" i="37" s="1"/>
  <c r="P7" i="37" s="1"/>
  <c r="P8" i="37" s="1"/>
  <c r="P9" i="37" s="1"/>
  <c r="P10" i="37" s="1"/>
  <c r="P11" i="37" s="1"/>
  <c r="P12" i="37" s="1"/>
  <c r="P13" i="37" s="1"/>
  <c r="P14" i="37" s="1"/>
  <c r="P15" i="37" s="1"/>
  <c r="P16" i="37" s="1"/>
  <c r="P17" i="37" s="1"/>
  <c r="P18" i="37" s="1"/>
  <c r="P19" i="37" s="1"/>
  <c r="P20" i="37" s="1"/>
  <c r="P21" i="37" s="1"/>
  <c r="P22" i="37" s="1"/>
  <c r="BB22" i="37"/>
  <c r="AY22" i="37"/>
  <c r="BB21" i="37"/>
  <c r="AY21" i="37"/>
  <c r="BB20" i="37"/>
  <c r="AY20" i="37"/>
  <c r="BB19" i="37"/>
  <c r="AY19" i="37"/>
  <c r="I19" i="37"/>
  <c r="K19" i="37" s="1"/>
  <c r="H19" i="37"/>
  <c r="J19" i="37" s="1"/>
  <c r="BB18" i="37"/>
  <c r="AY18" i="37"/>
  <c r="BB17" i="37"/>
  <c r="AY17" i="37"/>
  <c r="I17" i="37"/>
  <c r="H17" i="37"/>
  <c r="BB16" i="37"/>
  <c r="AY16" i="37"/>
  <c r="I16" i="37"/>
  <c r="H16" i="37"/>
  <c r="BB15" i="37"/>
  <c r="AY15" i="37"/>
  <c r="I15" i="37"/>
  <c r="H15" i="37"/>
  <c r="BB14" i="37"/>
  <c r="AY14" i="37"/>
  <c r="I14" i="37"/>
  <c r="H14" i="37"/>
  <c r="BB13" i="37"/>
  <c r="AY13" i="37"/>
  <c r="I13" i="37"/>
  <c r="H13" i="37"/>
  <c r="BB12" i="37"/>
  <c r="AY12" i="37"/>
  <c r="I12" i="37"/>
  <c r="H12" i="37"/>
  <c r="BB11" i="37"/>
  <c r="AY11" i="37"/>
  <c r="I11" i="37"/>
  <c r="H11" i="37"/>
  <c r="BB10" i="37"/>
  <c r="AY10" i="37"/>
  <c r="I10" i="37"/>
  <c r="H10" i="37"/>
  <c r="BB9" i="37"/>
  <c r="AY9" i="37"/>
  <c r="I9" i="37"/>
  <c r="H9" i="37"/>
  <c r="BB8" i="37"/>
  <c r="AY8" i="37"/>
  <c r="I8" i="37"/>
  <c r="H8" i="37"/>
  <c r="BB7" i="37"/>
  <c r="AY7" i="37"/>
  <c r="I7" i="37"/>
  <c r="H7" i="37"/>
  <c r="BB6" i="37"/>
  <c r="AY6" i="37"/>
  <c r="I6" i="37"/>
  <c r="H6" i="37"/>
  <c r="BB5" i="37"/>
  <c r="AY5" i="37"/>
  <c r="H10" i="34"/>
  <c r="I10" i="34"/>
  <c r="H11" i="34"/>
  <c r="I11" i="34"/>
  <c r="I9" i="34"/>
  <c r="H9" i="34"/>
  <c r="I8" i="34"/>
  <c r="H8" i="34"/>
  <c r="I7" i="34"/>
  <c r="H7" i="34"/>
  <c r="I6" i="34"/>
  <c r="H6" i="34"/>
  <c r="CY12" i="34"/>
  <c r="BO12" i="34"/>
  <c r="BB12" i="34"/>
  <c r="CY11" i="34"/>
  <c r="BO11" i="34"/>
  <c r="BB11" i="34"/>
  <c r="AZ11" i="34"/>
  <c r="AY11" i="34"/>
  <c r="AX11" i="34"/>
  <c r="AV11" i="34"/>
  <c r="AU11" i="34"/>
  <c r="AT11" i="34"/>
  <c r="CY10" i="34"/>
  <c r="BO10" i="34"/>
  <c r="BB10" i="34"/>
  <c r="CY9" i="34"/>
  <c r="BO9" i="34"/>
  <c r="BB9" i="34"/>
  <c r="AV9" i="34"/>
  <c r="AU9" i="34"/>
  <c r="AT9" i="34"/>
  <c r="CY8" i="34"/>
  <c r="BO8" i="34"/>
  <c r="BB8" i="34"/>
  <c r="AZ8" i="34"/>
  <c r="AY8" i="34"/>
  <c r="AX8" i="34"/>
  <c r="AV8" i="34"/>
  <c r="AU8" i="34"/>
  <c r="AT8" i="34"/>
  <c r="CY7" i="34"/>
  <c r="BO7" i="34"/>
  <c r="BB7" i="34"/>
  <c r="CY6" i="34"/>
  <c r="BO6" i="34"/>
  <c r="BB6" i="34"/>
  <c r="AZ6" i="34"/>
  <c r="AY6" i="34"/>
  <c r="AX6" i="34"/>
  <c r="AV6" i="34"/>
  <c r="AU6" i="34"/>
  <c r="AT6" i="34"/>
  <c r="CY5" i="34"/>
  <c r="BO5" i="34"/>
  <c r="BB5" i="34"/>
  <c r="AV5" i="34"/>
  <c r="AU5" i="34"/>
  <c r="AT5" i="34"/>
  <c r="DK29" i="32"/>
  <c r="DK28" i="32"/>
  <c r="DE26" i="32"/>
  <c r="DE25" i="32"/>
  <c r="DE24" i="32"/>
  <c r="DE23" i="32"/>
  <c r="DE22" i="32"/>
  <c r="DE21" i="32"/>
  <c r="DE20" i="32"/>
  <c r="DE19" i="32"/>
  <c r="DE18" i="32"/>
  <c r="DE17" i="32"/>
  <c r="DE16" i="32"/>
  <c r="DE15" i="32"/>
  <c r="DE14" i="32"/>
  <c r="DE13" i="32"/>
  <c r="DE12" i="32"/>
  <c r="DE11" i="32"/>
  <c r="DE10" i="32"/>
  <c r="DE9" i="32"/>
  <c r="DE8" i="32"/>
  <c r="DE7" i="32"/>
  <c r="DE6" i="32"/>
  <c r="DE5" i="32"/>
  <c r="DK27" i="32"/>
  <c r="CX29" i="32"/>
  <c r="CX28" i="32"/>
  <c r="CX27" i="32"/>
  <c r="BU29" i="32"/>
  <c r="BH29" i="32"/>
  <c r="BU28" i="32"/>
  <c r="BU27" i="32"/>
  <c r="BU26" i="32"/>
  <c r="BU25" i="32"/>
  <c r="BU24" i="32"/>
  <c r="BU23" i="32"/>
  <c r="BU22" i="32"/>
  <c r="BU21" i="32"/>
  <c r="BU20" i="32"/>
  <c r="BU19" i="32"/>
  <c r="BU18" i="32"/>
  <c r="BU17" i="32"/>
  <c r="BU16" i="32"/>
  <c r="BU15" i="32"/>
  <c r="BU14" i="32"/>
  <c r="BU13" i="32"/>
  <c r="BU12" i="32"/>
  <c r="BU11" i="32"/>
  <c r="BU10" i="32"/>
  <c r="BU9" i="32"/>
  <c r="BU8" i="32"/>
  <c r="BU7" i="32"/>
  <c r="BU6" i="32"/>
  <c r="BU5" i="32"/>
  <c r="BF8" i="32"/>
  <c r="BE8" i="32"/>
  <c r="BD8" i="32"/>
  <c r="BB8" i="32"/>
  <c r="BA8" i="32"/>
  <c r="AZ8" i="32"/>
  <c r="J122" i="25"/>
  <c r="BF14" i="32" s="1"/>
  <c r="J121" i="25"/>
  <c r="BE14" i="32" s="1"/>
  <c r="J120" i="25"/>
  <c r="BF18" i="32"/>
  <c r="BE18" i="32"/>
  <c r="BD18" i="32"/>
  <c r="BB18" i="32"/>
  <c r="BA18" i="32"/>
  <c r="AZ18" i="32"/>
  <c r="BF17" i="32"/>
  <c r="BE17" i="32"/>
  <c r="BD17" i="32"/>
  <c r="BB17" i="32"/>
  <c r="BA17" i="32"/>
  <c r="AZ17" i="32"/>
  <c r="BB14" i="32"/>
  <c r="BF15" i="32"/>
  <c r="BE15" i="32"/>
  <c r="BD15" i="32"/>
  <c r="K33" i="27"/>
  <c r="J33" i="27"/>
  <c r="I33" i="27"/>
  <c r="BB15" i="32"/>
  <c r="BA15" i="32"/>
  <c r="AZ15" i="32"/>
  <c r="BA14" i="32"/>
  <c r="AZ14" i="32"/>
  <c r="BH28" i="32"/>
  <c r="BH27" i="32"/>
  <c r="BH26" i="32"/>
  <c r="BH25" i="32"/>
  <c r="BH24" i="32"/>
  <c r="BH23" i="32"/>
  <c r="BH22" i="32"/>
  <c r="BH21" i="32"/>
  <c r="BH20" i="32"/>
  <c r="BH19" i="32"/>
  <c r="BH18" i="32"/>
  <c r="BH17" i="32"/>
  <c r="BH16" i="32"/>
  <c r="BH15" i="32"/>
  <c r="BH14" i="32"/>
  <c r="BH13" i="32"/>
  <c r="BH12" i="32"/>
  <c r="BH11" i="32"/>
  <c r="BH10" i="32"/>
  <c r="BH9" i="32"/>
  <c r="BH8" i="32"/>
  <c r="BH7" i="32"/>
  <c r="BH6" i="32"/>
  <c r="BH5" i="32"/>
  <c r="BF12" i="32"/>
  <c r="BE12" i="32"/>
  <c r="BD12" i="32"/>
  <c r="BF11" i="32"/>
  <c r="BE11" i="32"/>
  <c r="BD11" i="32"/>
  <c r="BF9" i="32"/>
  <c r="BE9" i="32"/>
  <c r="BD9" i="32"/>
  <c r="BF6" i="32"/>
  <c r="BE6" i="32"/>
  <c r="BD6" i="32"/>
  <c r="BB12" i="32"/>
  <c r="BA12" i="32"/>
  <c r="AZ12" i="32"/>
  <c r="BB11" i="32"/>
  <c r="BA11" i="32"/>
  <c r="AZ11" i="32"/>
  <c r="BB9" i="32"/>
  <c r="BA9" i="32"/>
  <c r="AZ9" i="32"/>
  <c r="BB6" i="32"/>
  <c r="BA6" i="32"/>
  <c r="AZ6" i="32"/>
  <c r="BB5" i="32"/>
  <c r="BA5" i="32"/>
  <c r="AZ5" i="32"/>
  <c r="E19" i="50" l="1"/>
  <c r="F19" i="50"/>
  <c r="BC22" i="37"/>
  <c r="BC7" i="37"/>
  <c r="BC11" i="37"/>
  <c r="BC15" i="37"/>
  <c r="BC19" i="37"/>
  <c r="BC8" i="37"/>
  <c r="BC12" i="37"/>
  <c r="BC16" i="37"/>
  <c r="BC20" i="37"/>
  <c r="BC5" i="37"/>
  <c r="BC9" i="37"/>
  <c r="BC13" i="37"/>
  <c r="BC17" i="37"/>
  <c r="BC21" i="37"/>
  <c r="BC6" i="37"/>
  <c r="BC10" i="37"/>
  <c r="BC14" i="37"/>
  <c r="BC18" i="37"/>
  <c r="AZ10" i="37"/>
  <c r="AZ22" i="37"/>
  <c r="AZ7" i="37"/>
  <c r="AZ11" i="37"/>
  <c r="AZ15" i="37"/>
  <c r="AZ19" i="37"/>
  <c r="AZ18" i="37"/>
  <c r="AZ8" i="37"/>
  <c r="AZ12" i="37"/>
  <c r="AZ16" i="37"/>
  <c r="AZ20" i="37"/>
  <c r="AZ6" i="37"/>
  <c r="AZ14" i="37"/>
  <c r="AZ5" i="37"/>
  <c r="AZ9" i="37"/>
  <c r="AZ13" i="37"/>
  <c r="AZ17" i="37"/>
  <c r="AZ21" i="37"/>
  <c r="BD14" i="32"/>
  <c r="CE5" i="34"/>
  <c r="CE10" i="34"/>
  <c r="CK10" i="34" s="1"/>
  <c r="BD5" i="34"/>
  <c r="CC8" i="34"/>
  <c r="CI8" i="34" s="1"/>
  <c r="CC6" i="34"/>
  <c r="CI6" i="34" s="1"/>
  <c r="BD7" i="34"/>
  <c r="CE7" i="34"/>
  <c r="CK7" i="34" s="1"/>
  <c r="BC5" i="34"/>
  <c r="BC7" i="34"/>
  <c r="BQ10" i="34"/>
  <c r="BQ12" i="34"/>
  <c r="BQ11" i="34"/>
  <c r="BQ9" i="34"/>
  <c r="BC9" i="34"/>
  <c r="CE11" i="34"/>
  <c r="CK11" i="34" s="1"/>
  <c r="BC12" i="34"/>
  <c r="CE12" i="34"/>
  <c r="CK12" i="34" s="1"/>
  <c r="BC8" i="34"/>
  <c r="BC6" i="34"/>
  <c r="BC10" i="34"/>
  <c r="BD10" i="34"/>
  <c r="BD12" i="34"/>
  <c r="BD11" i="34"/>
  <c r="BD9" i="34"/>
  <c r="BQ6" i="34"/>
  <c r="BQ8" i="34"/>
  <c r="BQ5" i="34"/>
  <c r="BD6" i="34"/>
  <c r="BQ7" i="34"/>
  <c r="BD8" i="34"/>
  <c r="BC11" i="34"/>
  <c r="BX16" i="32"/>
  <c r="BX12" i="32"/>
  <c r="BX8" i="32"/>
  <c r="BJ29" i="32"/>
  <c r="BI29" i="32"/>
  <c r="BL29" i="32"/>
  <c r="BK29" i="32"/>
  <c r="BX28" i="32"/>
  <c r="BX27" i="32"/>
  <c r="BX26" i="32"/>
  <c r="BX25" i="32"/>
  <c r="BX24" i="32"/>
  <c r="BX23" i="32"/>
  <c r="BX22" i="32"/>
  <c r="BX21" i="32"/>
  <c r="BX20" i="32"/>
  <c r="BX19" i="32"/>
  <c r="BX18" i="32"/>
  <c r="BX14" i="32"/>
  <c r="BX10" i="32"/>
  <c r="BX6" i="32"/>
  <c r="BX29" i="32"/>
  <c r="DA29" i="32" s="1"/>
  <c r="BX15" i="32"/>
  <c r="BX11" i="32"/>
  <c r="BX7" i="32"/>
  <c r="BM26" i="32"/>
  <c r="BM29" i="32"/>
  <c r="BM27" i="32"/>
  <c r="BM11" i="32"/>
  <c r="BM19" i="32"/>
  <c r="BM15" i="32"/>
  <c r="BM7" i="32"/>
  <c r="BM23" i="32"/>
  <c r="BX5" i="32"/>
  <c r="BX9" i="32"/>
  <c r="BX13" i="32"/>
  <c r="BX17" i="32"/>
  <c r="BW29" i="32"/>
  <c r="BW28" i="32"/>
  <c r="BW27" i="32"/>
  <c r="BW26" i="32"/>
  <c r="BW25" i="32"/>
  <c r="BW24" i="32"/>
  <c r="BW23" i="32"/>
  <c r="BW22" i="32"/>
  <c r="BW21" i="32"/>
  <c r="BW20" i="32"/>
  <c r="BW19" i="32"/>
  <c r="BW18" i="32"/>
  <c r="BW17" i="32"/>
  <c r="BW16" i="32"/>
  <c r="BW15" i="32"/>
  <c r="BW14" i="32"/>
  <c r="BW13" i="32"/>
  <c r="BW12" i="32"/>
  <c r="BW11" i="32"/>
  <c r="BW10" i="32"/>
  <c r="BW9" i="32"/>
  <c r="BW8" i="32"/>
  <c r="BW7" i="32"/>
  <c r="BW6" i="32"/>
  <c r="BW5" i="32"/>
  <c r="BL28" i="32"/>
  <c r="BI27" i="32"/>
  <c r="BM8" i="32"/>
  <c r="BM12" i="32"/>
  <c r="BM16" i="32"/>
  <c r="BM20" i="32"/>
  <c r="BM24" i="32"/>
  <c r="BM28" i="32"/>
  <c r="BK27" i="32"/>
  <c r="BM5" i="32"/>
  <c r="BM9" i="32"/>
  <c r="BM13" i="32"/>
  <c r="BM17" i="32"/>
  <c r="BM21" i="32"/>
  <c r="BM25" i="32"/>
  <c r="BM6" i="32"/>
  <c r="BM10" i="32"/>
  <c r="BM14" i="32"/>
  <c r="BM18" i="32"/>
  <c r="BM22" i="32"/>
  <c r="BJ27" i="32"/>
  <c r="BI24" i="32"/>
  <c r="BK12" i="32"/>
  <c r="BK20" i="32"/>
  <c r="BK28" i="32"/>
  <c r="BK5" i="32"/>
  <c r="BK13" i="32"/>
  <c r="BK21" i="32"/>
  <c r="BI16" i="32"/>
  <c r="BL21" i="32"/>
  <c r="BK8" i="32"/>
  <c r="BK16" i="32"/>
  <c r="BK24" i="32"/>
  <c r="BI17" i="32"/>
  <c r="BI20" i="32"/>
  <c r="BK9" i="32"/>
  <c r="BK17" i="32"/>
  <c r="BK25" i="32"/>
  <c r="BL13" i="32"/>
  <c r="BL25" i="32"/>
  <c r="BI13" i="32"/>
  <c r="BI25" i="32"/>
  <c r="BJ17" i="32"/>
  <c r="BL6" i="32"/>
  <c r="BL26" i="32"/>
  <c r="BI12" i="32"/>
  <c r="BI28" i="32"/>
  <c r="BJ8" i="32"/>
  <c r="BJ16" i="32"/>
  <c r="BJ20" i="32"/>
  <c r="BJ28" i="32"/>
  <c r="BL17" i="32"/>
  <c r="BI9" i="32"/>
  <c r="BI21" i="32"/>
  <c r="BJ9" i="32"/>
  <c r="BJ21" i="32"/>
  <c r="BL10" i="32"/>
  <c r="BL14" i="32"/>
  <c r="BL18" i="32"/>
  <c r="BL22" i="32"/>
  <c r="BI6" i="32"/>
  <c r="BI10" i="32"/>
  <c r="BI14" i="32"/>
  <c r="BI18" i="32"/>
  <c r="BI22" i="32"/>
  <c r="BI26" i="32"/>
  <c r="BJ6" i="32"/>
  <c r="BJ10" i="32"/>
  <c r="BJ14" i="32"/>
  <c r="BJ18" i="32"/>
  <c r="BJ22" i="32"/>
  <c r="BJ26" i="32"/>
  <c r="BK6" i="32"/>
  <c r="BK10" i="32"/>
  <c r="BK14" i="32"/>
  <c r="BK18" i="32"/>
  <c r="BK22" i="32"/>
  <c r="BK26" i="32"/>
  <c r="BL7" i="32"/>
  <c r="BL11" i="32"/>
  <c r="BL15" i="32"/>
  <c r="BL19" i="32"/>
  <c r="BL23" i="32"/>
  <c r="BL27" i="32"/>
  <c r="BI8" i="32"/>
  <c r="BJ12" i="32"/>
  <c r="BJ24" i="32"/>
  <c r="BL5" i="32"/>
  <c r="BL9" i="32"/>
  <c r="BI5" i="32"/>
  <c r="BJ5" i="32"/>
  <c r="BJ13" i="32"/>
  <c r="BJ25" i="32"/>
  <c r="BI7" i="32"/>
  <c r="BI11" i="32"/>
  <c r="BI15" i="32"/>
  <c r="BI19" i="32"/>
  <c r="BI23" i="32"/>
  <c r="BJ7" i="32"/>
  <c r="BJ11" i="32"/>
  <c r="BJ15" i="32"/>
  <c r="BJ19" i="32"/>
  <c r="BJ23" i="32"/>
  <c r="BK7" i="32"/>
  <c r="BK11" i="32"/>
  <c r="BK15" i="32"/>
  <c r="BK19" i="32"/>
  <c r="BK23" i="32"/>
  <c r="BL8" i="32"/>
  <c r="BL12" i="32"/>
  <c r="BL16" i="32"/>
  <c r="BL20" i="32"/>
  <c r="BL24" i="32"/>
  <c r="U5" i="32"/>
  <c r="BH4" i="33"/>
  <c r="AI9" i="32" l="1"/>
  <c r="AI7" i="32"/>
  <c r="AI18" i="32"/>
  <c r="AI21" i="32"/>
  <c r="AI16" i="32"/>
  <c r="AI23" i="32"/>
  <c r="AI14" i="32"/>
  <c r="AI8" i="32"/>
  <c r="AI15" i="32"/>
  <c r="AI10" i="32"/>
  <c r="AQ6" i="49"/>
  <c r="CV6" i="39"/>
  <c r="DR6" i="39" s="1"/>
  <c r="EC6" i="39" s="1"/>
  <c r="EN6" i="39" s="1"/>
  <c r="CW6" i="39"/>
  <c r="DS6" i="39" s="1"/>
  <c r="ED6" i="39" s="1"/>
  <c r="EO6" i="39" s="1"/>
  <c r="CT6" i="39"/>
  <c r="DP6" i="39" s="1"/>
  <c r="EA6" i="39" s="1"/>
  <c r="EL6" i="39" s="1"/>
  <c r="CX6" i="39"/>
  <c r="DT6" i="39" s="1"/>
  <c r="EE6" i="39" s="1"/>
  <c r="EP6" i="39" s="1"/>
  <c r="CS6" i="39"/>
  <c r="DA6" i="39"/>
  <c r="DW6" i="39" s="1"/>
  <c r="EH6" i="39" s="1"/>
  <c r="ES6" i="39" s="1"/>
  <c r="CZ6" i="39"/>
  <c r="DV6" i="39" s="1"/>
  <c r="EG6" i="39" s="1"/>
  <c r="ER6" i="39" s="1"/>
  <c r="DB6" i="39"/>
  <c r="DX6" i="39" s="1"/>
  <c r="EI6" i="39" s="1"/>
  <c r="ET6" i="39" s="1"/>
  <c r="CU6" i="39"/>
  <c r="DQ6" i="39" s="1"/>
  <c r="EB6" i="39" s="1"/>
  <c r="EM6" i="39" s="1"/>
  <c r="CY6" i="39"/>
  <c r="DU6" i="39" s="1"/>
  <c r="EF6" i="39" s="1"/>
  <c r="EQ6" i="39" s="1"/>
  <c r="CY47" i="2"/>
  <c r="DU47" i="2" s="1"/>
  <c r="EF47" i="2" s="1"/>
  <c r="EQ47" i="2" s="1"/>
  <c r="CV47" i="2"/>
  <c r="DR47" i="2" s="1"/>
  <c r="EC47" i="2" s="1"/>
  <c r="EN47" i="2" s="1"/>
  <c r="CW47" i="2"/>
  <c r="DS47" i="2" s="1"/>
  <c r="ED47" i="2" s="1"/>
  <c r="EO47" i="2" s="1"/>
  <c r="CZ47" i="2"/>
  <c r="DV47" i="2" s="1"/>
  <c r="EG47" i="2" s="1"/>
  <c r="ER47" i="2" s="1"/>
  <c r="CT47" i="2"/>
  <c r="DP47" i="2" s="1"/>
  <c r="EA47" i="2" s="1"/>
  <c r="EL47" i="2" s="1"/>
  <c r="CR47" i="2"/>
  <c r="DA47" i="2"/>
  <c r="DW47" i="2" s="1"/>
  <c r="EH47" i="2" s="1"/>
  <c r="ES47" i="2" s="1"/>
  <c r="CX47" i="2"/>
  <c r="DT47" i="2" s="1"/>
  <c r="EE47" i="2" s="1"/>
  <c r="EP47" i="2" s="1"/>
  <c r="CU47" i="2"/>
  <c r="DQ47" i="2" s="1"/>
  <c r="EB47" i="2" s="1"/>
  <c r="EM47" i="2" s="1"/>
  <c r="DO47" i="2"/>
  <c r="DZ47" i="2" s="1"/>
  <c r="EK47" i="2" s="1"/>
  <c r="AI20" i="32"/>
  <c r="AI13" i="32"/>
  <c r="AI25" i="32"/>
  <c r="AI5" i="32"/>
  <c r="AI19" i="32"/>
  <c r="AI12" i="32"/>
  <c r="AI26" i="32"/>
  <c r="AI11" i="32"/>
  <c r="AI22" i="32"/>
  <c r="AI6" i="32"/>
  <c r="AI17" i="32"/>
  <c r="AI24" i="32"/>
  <c r="AC18" i="37"/>
  <c r="AD18" i="37" s="1"/>
  <c r="AC20" i="37"/>
  <c r="AD20" i="37" s="1"/>
  <c r="AC19" i="37"/>
  <c r="AD19" i="37" s="1"/>
  <c r="AC22" i="37"/>
  <c r="AD22" i="37" s="1"/>
  <c r="AC21" i="37"/>
  <c r="AD21" i="37" s="1"/>
  <c r="AC5" i="37"/>
  <c r="AD5" i="37" s="1"/>
  <c r="AC11" i="37"/>
  <c r="AD11" i="37" s="1"/>
  <c r="AC17" i="37"/>
  <c r="AD17" i="37" s="1"/>
  <c r="AC7" i="37"/>
  <c r="AD7" i="37" s="1"/>
  <c r="AC13" i="37"/>
  <c r="AD13" i="37" s="1"/>
  <c r="AC6" i="37"/>
  <c r="AD6" i="37" s="1"/>
  <c r="AC12" i="37"/>
  <c r="AD12" i="37" s="1"/>
  <c r="AC14" i="37"/>
  <c r="AD14" i="37" s="1"/>
  <c r="AC16" i="37"/>
  <c r="AD16" i="37" s="1"/>
  <c r="AC9" i="37"/>
  <c r="AD9" i="37" s="1"/>
  <c r="AC8" i="37"/>
  <c r="AD8" i="37" s="1"/>
  <c r="AC15" i="37"/>
  <c r="AD15" i="37" s="1"/>
  <c r="AC10" i="37"/>
  <c r="AD10" i="37" s="1"/>
  <c r="AB33" i="32"/>
  <c r="AB37" i="32"/>
  <c r="AB30" i="32"/>
  <c r="AB35" i="32"/>
  <c r="BY28" i="32"/>
  <c r="AB31" i="32"/>
  <c r="AB36" i="32"/>
  <c r="AB32" i="32"/>
  <c r="AB34" i="32"/>
  <c r="BY16" i="32"/>
  <c r="BH10" i="34"/>
  <c r="BH12" i="34"/>
  <c r="BH11" i="34"/>
  <c r="BY6" i="32"/>
  <c r="BY9" i="32"/>
  <c r="CK5" i="34"/>
  <c r="BG4" i="33"/>
  <c r="BY18" i="32"/>
  <c r="BY26" i="32"/>
  <c r="BY27" i="32"/>
  <c r="BY5" i="32"/>
  <c r="BY21" i="32"/>
  <c r="BY17" i="32"/>
  <c r="BY8" i="32"/>
  <c r="BY11" i="32"/>
  <c r="BY22" i="32"/>
  <c r="BY14" i="32"/>
  <c r="BY25" i="32"/>
  <c r="BY7" i="32"/>
  <c r="BY20" i="32"/>
  <c r="BY19" i="32"/>
  <c r="BY29" i="32"/>
  <c r="BY13" i="32"/>
  <c r="BY12" i="32"/>
  <c r="BY15" i="32"/>
  <c r="BY24" i="32"/>
  <c r="BY10" i="32"/>
  <c r="BY23" i="32"/>
  <c r="CD6" i="34"/>
  <c r="CJ6" i="34" s="1"/>
  <c r="CD9" i="34"/>
  <c r="CJ9" i="34" s="1"/>
  <c r="CD10" i="34"/>
  <c r="CJ10" i="34" s="1"/>
  <c r="CD11" i="34"/>
  <c r="CJ11" i="34" s="1"/>
  <c r="BH8" i="34"/>
  <c r="BH9" i="34"/>
  <c r="CE6" i="34"/>
  <c r="CK6" i="34" s="1"/>
  <c r="CE8" i="34"/>
  <c r="CK8" i="34" s="1"/>
  <c r="BH7" i="34"/>
  <c r="CE9" i="34"/>
  <c r="CK9" i="34" s="1"/>
  <c r="BH6" i="34"/>
  <c r="BH5" i="34"/>
  <c r="DN29" i="32"/>
  <c r="DQ29" i="32" s="1"/>
  <c r="DD29" i="32"/>
  <c r="BN29" i="32"/>
  <c r="DA27" i="32"/>
  <c r="DA28" i="32"/>
  <c r="BN27" i="32"/>
  <c r="BN26" i="32"/>
  <c r="AH26" i="32" s="1"/>
  <c r="BN8" i="32"/>
  <c r="AH8" i="32" s="1"/>
  <c r="BN5" i="32"/>
  <c r="AH5" i="32" s="1"/>
  <c r="BN6" i="32"/>
  <c r="AH6" i="32" s="1"/>
  <c r="BN17" i="32"/>
  <c r="AH17" i="32" s="1"/>
  <c r="BN11" i="32"/>
  <c r="AH11" i="32" s="1"/>
  <c r="BN10" i="32"/>
  <c r="AH10" i="32" s="1"/>
  <c r="BN23" i="32"/>
  <c r="AH23" i="32" s="1"/>
  <c r="BN24" i="32"/>
  <c r="AH24" i="32" s="1"/>
  <c r="BN9" i="32"/>
  <c r="AH9" i="32" s="1"/>
  <c r="BN28" i="32"/>
  <c r="BN19" i="32"/>
  <c r="AH19" i="32" s="1"/>
  <c r="BN12" i="32"/>
  <c r="AH12" i="32" s="1"/>
  <c r="BN18" i="32"/>
  <c r="AH18" i="32" s="1"/>
  <c r="BN20" i="32"/>
  <c r="AH20" i="32" s="1"/>
  <c r="BN13" i="32"/>
  <c r="AH13" i="32" s="1"/>
  <c r="BN21" i="32"/>
  <c r="AH21" i="32" s="1"/>
  <c r="BN7" i="32"/>
  <c r="AH7" i="32" s="1"/>
  <c r="BN22" i="32"/>
  <c r="AH22" i="32" s="1"/>
  <c r="BN15" i="32"/>
  <c r="AH15" i="32" s="1"/>
  <c r="BN25" i="32"/>
  <c r="AH25" i="32" s="1"/>
  <c r="BN14" i="32"/>
  <c r="AH14" i="32" s="1"/>
  <c r="BN16" i="32"/>
  <c r="AH16" i="32" s="1"/>
  <c r="DC6" i="39" l="1"/>
  <c r="AM6" i="39" s="1"/>
  <c r="DO6" i="39"/>
  <c r="S6" i="49"/>
  <c r="AT6" i="49"/>
  <c r="BF4" i="33"/>
  <c r="BE4" i="33" s="1"/>
  <c r="AQ7" i="49"/>
  <c r="CY12" i="43"/>
  <c r="DU12" i="43" s="1"/>
  <c r="EF12" i="43" s="1"/>
  <c r="EQ12" i="43" s="1"/>
  <c r="DA13" i="43"/>
  <c r="DW13" i="43" s="1"/>
  <c r="EH13" i="43" s="1"/>
  <c r="ES13" i="43" s="1"/>
  <c r="CV12" i="43"/>
  <c r="DR12" i="43" s="1"/>
  <c r="EC12" i="43" s="1"/>
  <c r="EN12" i="43" s="1"/>
  <c r="CS12" i="43"/>
  <c r="DO12" i="43" s="1"/>
  <c r="CS8" i="43"/>
  <c r="DO8" i="43" s="1"/>
  <c r="CY8" i="43"/>
  <c r="DU8" i="43" s="1"/>
  <c r="EF8" i="43" s="1"/>
  <c r="EQ8" i="43" s="1"/>
  <c r="CZ8" i="43"/>
  <c r="DV8" i="43" s="1"/>
  <c r="EG8" i="43" s="1"/>
  <c r="ER8" i="43" s="1"/>
  <c r="CW12" i="43"/>
  <c r="DS12" i="43" s="1"/>
  <c r="ED12" i="43" s="1"/>
  <c r="EO12" i="43" s="1"/>
  <c r="CW13" i="43"/>
  <c r="DS13" i="43" s="1"/>
  <c r="ED13" i="43" s="1"/>
  <c r="EO13" i="43" s="1"/>
  <c r="DB8" i="43"/>
  <c r="DX8" i="43" s="1"/>
  <c r="EI8" i="43" s="1"/>
  <c r="ET8" i="43" s="1"/>
  <c r="CX12" i="43"/>
  <c r="DT12" i="43" s="1"/>
  <c r="EE12" i="43" s="1"/>
  <c r="EP12" i="43" s="1"/>
  <c r="DB12" i="43"/>
  <c r="DX12" i="43" s="1"/>
  <c r="EI12" i="43" s="1"/>
  <c r="ET12" i="43" s="1"/>
  <c r="CT12" i="43"/>
  <c r="DP12" i="43" s="1"/>
  <c r="EA12" i="43" s="1"/>
  <c r="EL12" i="43" s="1"/>
  <c r="CT13" i="43"/>
  <c r="DP13" i="43" s="1"/>
  <c r="EA13" i="43" s="1"/>
  <c r="EL13" i="43" s="1"/>
  <c r="CU13" i="43"/>
  <c r="DQ13" i="43" s="1"/>
  <c r="EB13" i="43" s="1"/>
  <c r="EM13" i="43" s="1"/>
  <c r="CT8" i="43"/>
  <c r="DP8" i="43" s="1"/>
  <c r="EA8" i="43" s="1"/>
  <c r="EL8" i="43" s="1"/>
  <c r="CV8" i="43"/>
  <c r="DR8" i="43" s="1"/>
  <c r="EC8" i="43" s="1"/>
  <c r="EN8" i="43" s="1"/>
  <c r="CX13" i="43"/>
  <c r="DT13" i="43" s="1"/>
  <c r="EE13" i="43" s="1"/>
  <c r="EP13" i="43" s="1"/>
  <c r="CU12" i="43"/>
  <c r="DQ12" i="43" s="1"/>
  <c r="EB12" i="43" s="1"/>
  <c r="EM12" i="43" s="1"/>
  <c r="CX8" i="43"/>
  <c r="DT8" i="43" s="1"/>
  <c r="EE8" i="43" s="1"/>
  <c r="EP8" i="43" s="1"/>
  <c r="CW8" i="43"/>
  <c r="DS8" i="43" s="1"/>
  <c r="ED8" i="43" s="1"/>
  <c r="EO8" i="43" s="1"/>
  <c r="CZ12" i="43"/>
  <c r="DV12" i="43" s="1"/>
  <c r="EG12" i="43" s="1"/>
  <c r="ER12" i="43" s="1"/>
  <c r="DA12" i="43"/>
  <c r="DW12" i="43" s="1"/>
  <c r="EH12" i="43" s="1"/>
  <c r="ES12" i="43" s="1"/>
  <c r="CY13" i="43"/>
  <c r="DU13" i="43" s="1"/>
  <c r="EF13" i="43" s="1"/>
  <c r="EQ13" i="43" s="1"/>
  <c r="CV13" i="43"/>
  <c r="DR13" i="43" s="1"/>
  <c r="EC13" i="43" s="1"/>
  <c r="EN13" i="43" s="1"/>
  <c r="CU8" i="43"/>
  <c r="DQ8" i="43" s="1"/>
  <c r="EB8" i="43" s="1"/>
  <c r="EM8" i="43" s="1"/>
  <c r="CZ13" i="43"/>
  <c r="DV13" i="43" s="1"/>
  <c r="EG13" i="43" s="1"/>
  <c r="ER13" i="43" s="1"/>
  <c r="DA8" i="43"/>
  <c r="DW8" i="43" s="1"/>
  <c r="EH8" i="43" s="1"/>
  <c r="ES8" i="43" s="1"/>
  <c r="DB13" i="43"/>
  <c r="DX13" i="43" s="1"/>
  <c r="EI13" i="43" s="1"/>
  <c r="ET13" i="43" s="1"/>
  <c r="CS13" i="43"/>
  <c r="DO13" i="43" s="1"/>
  <c r="DC13" i="43"/>
  <c r="DC8" i="43"/>
  <c r="AM8" i="43" s="1"/>
  <c r="DC12" i="43"/>
  <c r="AM12" i="43" s="1"/>
  <c r="DB47" i="2"/>
  <c r="AM47" i="2" s="1"/>
  <c r="DN47" i="2"/>
  <c r="AE12" i="34"/>
  <c r="AF12" i="34" s="1"/>
  <c r="AE10" i="34"/>
  <c r="AF10" i="34" s="1"/>
  <c r="AE5" i="34"/>
  <c r="AF5" i="34" s="1"/>
  <c r="AE7" i="34"/>
  <c r="AF7" i="34" s="1"/>
  <c r="AE11" i="34"/>
  <c r="AF11" i="34" s="1"/>
  <c r="AE9" i="34"/>
  <c r="AF9" i="34" s="1"/>
  <c r="AE8" i="34"/>
  <c r="AF8" i="34" s="1"/>
  <c r="AE6" i="34"/>
  <c r="AF6" i="34" s="1"/>
  <c r="AG17" i="46"/>
  <c r="F23" i="50"/>
  <c r="E24" i="50"/>
  <c r="CC9" i="34"/>
  <c r="CI9" i="34" s="1"/>
  <c r="CD12" i="34"/>
  <c r="CJ12" i="34" s="1"/>
  <c r="CC10" i="34"/>
  <c r="CI10" i="34" s="1"/>
  <c r="CD8" i="34"/>
  <c r="CJ8" i="34" s="1"/>
  <c r="CD7" i="34"/>
  <c r="CJ7" i="34" s="1"/>
  <c r="CC7" i="34"/>
  <c r="CI7" i="34" s="1"/>
  <c r="CC5" i="34"/>
  <c r="CI5" i="34" s="1"/>
  <c r="CC12" i="34"/>
  <c r="CI12" i="34" s="1"/>
  <c r="CC11" i="34"/>
  <c r="CI11" i="34" s="1"/>
  <c r="CD5" i="34"/>
  <c r="CJ5" i="34" s="1"/>
  <c r="DD27" i="32"/>
  <c r="DN27" i="32"/>
  <c r="DQ27" i="32" s="1"/>
  <c r="DD28" i="32"/>
  <c r="DN28" i="32"/>
  <c r="DQ28" i="32" s="1"/>
  <c r="E23" i="50"/>
  <c r="F28" i="50" l="1"/>
  <c r="F30" i="50" s="1"/>
  <c r="DZ12" i="43"/>
  <c r="EJ12" i="43" s="1"/>
  <c r="AO12" i="43" s="1"/>
  <c r="AP12" i="43" s="1"/>
  <c r="DY12" i="43"/>
  <c r="S7" i="49"/>
  <c r="AT7" i="49"/>
  <c r="AP14" i="48"/>
  <c r="Y14" i="48" s="1"/>
  <c r="Z14" i="48" s="1"/>
  <c r="AP13" i="48"/>
  <c r="Y13" i="48" s="1"/>
  <c r="Z13" i="48" s="1"/>
  <c r="AQ9" i="49"/>
  <c r="AQ8" i="48"/>
  <c r="AQ9" i="48"/>
  <c r="AQ7" i="48"/>
  <c r="CY8" i="39"/>
  <c r="DU8" i="39" s="1"/>
  <c r="EF8" i="39" s="1"/>
  <c r="EQ8" i="39" s="1"/>
  <c r="CS8" i="39"/>
  <c r="CV8" i="39"/>
  <c r="DR8" i="39" s="1"/>
  <c r="EC8" i="39" s="1"/>
  <c r="EN8" i="39" s="1"/>
  <c r="CW8" i="39"/>
  <c r="DS8" i="39" s="1"/>
  <c r="ED8" i="39" s="1"/>
  <c r="EO8" i="39" s="1"/>
  <c r="CX8" i="39"/>
  <c r="DT8" i="39" s="1"/>
  <c r="EE8" i="39" s="1"/>
  <c r="EP8" i="39" s="1"/>
  <c r="DA8" i="39"/>
  <c r="DW8" i="39" s="1"/>
  <c r="EH8" i="39" s="1"/>
  <c r="ES8" i="39" s="1"/>
  <c r="CT8" i="39"/>
  <c r="DP8" i="39" s="1"/>
  <c r="EA8" i="39" s="1"/>
  <c r="EL8" i="39" s="1"/>
  <c r="DB8" i="39"/>
  <c r="DX8" i="39" s="1"/>
  <c r="EI8" i="39" s="1"/>
  <c r="ET8" i="39" s="1"/>
  <c r="CZ8" i="39"/>
  <c r="DV8" i="39" s="1"/>
  <c r="EG8" i="39" s="1"/>
  <c r="ER8" i="39" s="1"/>
  <c r="CU8" i="39"/>
  <c r="DQ8" i="39" s="1"/>
  <c r="EB8" i="39" s="1"/>
  <c r="EM8" i="39" s="1"/>
  <c r="CO8" i="34"/>
  <c r="CO6" i="34"/>
  <c r="CO9" i="34"/>
  <c r="CN11" i="34"/>
  <c r="CN12" i="34"/>
  <c r="CN9" i="34"/>
  <c r="CO10" i="34"/>
  <c r="CO11" i="34"/>
  <c r="CO7" i="34"/>
  <c r="CN6" i="34"/>
  <c r="CN8" i="34"/>
  <c r="CN5" i="34"/>
  <c r="CN7" i="34"/>
  <c r="CN10" i="34"/>
  <c r="CO12" i="34"/>
  <c r="CO5" i="34"/>
  <c r="DZ8" i="43"/>
  <c r="EJ8" i="43" s="1"/>
  <c r="AO8" i="43" s="1"/>
  <c r="AP8" i="43" s="1"/>
  <c r="DY8" i="43"/>
  <c r="CW9" i="42"/>
  <c r="DS9" i="42" s="1"/>
  <c r="ED9" i="42" s="1"/>
  <c r="EO9" i="42" s="1"/>
  <c r="DB9" i="42"/>
  <c r="DX9" i="42" s="1"/>
  <c r="EI9" i="42" s="1"/>
  <c r="ET9" i="42" s="1"/>
  <c r="CZ7" i="42"/>
  <c r="DV7" i="42" s="1"/>
  <c r="EG7" i="42" s="1"/>
  <c r="ER7" i="42" s="1"/>
  <c r="CT5" i="42"/>
  <c r="DP5" i="42" s="1"/>
  <c r="EA5" i="42" s="1"/>
  <c r="EL5" i="42" s="1"/>
  <c r="CX11" i="43"/>
  <c r="DT11" i="43" s="1"/>
  <c r="EE11" i="43" s="1"/>
  <c r="EP11" i="43" s="1"/>
  <c r="CU8" i="42"/>
  <c r="DQ8" i="42" s="1"/>
  <c r="EB8" i="42" s="1"/>
  <c r="EM8" i="42" s="1"/>
  <c r="CT8" i="42"/>
  <c r="DP8" i="42" s="1"/>
  <c r="EA8" i="42" s="1"/>
  <c r="EL8" i="42" s="1"/>
  <c r="CX5" i="42"/>
  <c r="DT5" i="42" s="1"/>
  <c r="EE5" i="42" s="1"/>
  <c r="EP5" i="42" s="1"/>
  <c r="CY9" i="42"/>
  <c r="DU9" i="42" s="1"/>
  <c r="EF9" i="42" s="1"/>
  <c r="EQ9" i="42" s="1"/>
  <c r="DB8" i="42"/>
  <c r="DX8" i="42" s="1"/>
  <c r="EI8" i="42" s="1"/>
  <c r="ET8" i="42" s="1"/>
  <c r="DA8" i="42"/>
  <c r="DW8" i="42" s="1"/>
  <c r="EH8" i="42" s="1"/>
  <c r="ES8" i="42" s="1"/>
  <c r="CS11" i="43"/>
  <c r="DO11" i="43" s="1"/>
  <c r="CY11" i="43"/>
  <c r="DU11" i="43" s="1"/>
  <c r="EF11" i="43" s="1"/>
  <c r="EQ11" i="43" s="1"/>
  <c r="DB11" i="43"/>
  <c r="DX11" i="43" s="1"/>
  <c r="EI11" i="43" s="1"/>
  <c r="ET11" i="43" s="1"/>
  <c r="CX9" i="42"/>
  <c r="DT9" i="42" s="1"/>
  <c r="EE9" i="42" s="1"/>
  <c r="EP9" i="42" s="1"/>
  <c r="DB7" i="42"/>
  <c r="DX7" i="42" s="1"/>
  <c r="EI7" i="42" s="1"/>
  <c r="ET7" i="42" s="1"/>
  <c r="CY5" i="42"/>
  <c r="DU5" i="42" s="1"/>
  <c r="EF5" i="42" s="1"/>
  <c r="EQ5" i="42" s="1"/>
  <c r="CW5" i="42"/>
  <c r="DS5" i="42" s="1"/>
  <c r="ED5" i="42" s="1"/>
  <c r="EO5" i="42" s="1"/>
  <c r="CX7" i="42"/>
  <c r="DT7" i="42" s="1"/>
  <c r="EE7" i="42" s="1"/>
  <c r="EP7" i="42" s="1"/>
  <c r="CT9" i="42"/>
  <c r="DP9" i="42" s="1"/>
  <c r="EA9" i="42" s="1"/>
  <c r="EL9" i="42" s="1"/>
  <c r="DA9" i="42"/>
  <c r="DW9" i="42" s="1"/>
  <c r="EH9" i="42" s="1"/>
  <c r="ES9" i="42" s="1"/>
  <c r="DB5" i="42"/>
  <c r="DX5" i="42" s="1"/>
  <c r="EI5" i="42" s="1"/>
  <c r="ET5" i="42" s="1"/>
  <c r="CU11" i="43"/>
  <c r="DQ11" i="43" s="1"/>
  <c r="EB11" i="43" s="1"/>
  <c r="EM11" i="43" s="1"/>
  <c r="CW11" i="43"/>
  <c r="DS11" i="43" s="1"/>
  <c r="ED11" i="43" s="1"/>
  <c r="EO11" i="43" s="1"/>
  <c r="CU9" i="42"/>
  <c r="DQ9" i="42" s="1"/>
  <c r="EB9" i="42" s="1"/>
  <c r="EM9" i="42" s="1"/>
  <c r="CS8" i="42"/>
  <c r="CT11" i="43"/>
  <c r="DP11" i="43" s="1"/>
  <c r="EA11" i="43" s="1"/>
  <c r="EL11" i="43" s="1"/>
  <c r="CX8" i="42"/>
  <c r="DT8" i="42" s="1"/>
  <c r="EE8" i="42" s="1"/>
  <c r="EP8" i="42" s="1"/>
  <c r="CS5" i="42"/>
  <c r="DO5" i="42" s="1"/>
  <c r="DZ5" i="42" s="1"/>
  <c r="CZ11" i="43"/>
  <c r="DV11" i="43" s="1"/>
  <c r="EG11" i="43" s="1"/>
  <c r="ER11" i="43" s="1"/>
  <c r="DA7" i="42"/>
  <c r="DW7" i="42" s="1"/>
  <c r="EH7" i="42" s="1"/>
  <c r="ES7" i="42" s="1"/>
  <c r="CW7" i="42"/>
  <c r="DS7" i="42" s="1"/>
  <c r="ED7" i="42" s="1"/>
  <c r="EO7" i="42" s="1"/>
  <c r="CY7" i="42"/>
  <c r="DU7" i="42" s="1"/>
  <c r="EF7" i="42" s="1"/>
  <c r="EQ7" i="42" s="1"/>
  <c r="CZ8" i="42"/>
  <c r="DV8" i="42" s="1"/>
  <c r="EG8" i="42" s="1"/>
  <c r="ER8" i="42" s="1"/>
  <c r="CV9" i="42"/>
  <c r="DR9" i="42" s="1"/>
  <c r="EC9" i="42" s="1"/>
  <c r="EN9" i="42" s="1"/>
  <c r="CS9" i="42"/>
  <c r="CV8" i="42"/>
  <c r="DR8" i="42" s="1"/>
  <c r="EC8" i="42" s="1"/>
  <c r="EN8" i="42" s="1"/>
  <c r="CY8" i="42"/>
  <c r="DU8" i="42" s="1"/>
  <c r="EF8" i="42" s="1"/>
  <c r="EQ8" i="42" s="1"/>
  <c r="CW8" i="42"/>
  <c r="DS8" i="42" s="1"/>
  <c r="ED8" i="42" s="1"/>
  <c r="EO8" i="42" s="1"/>
  <c r="CZ9" i="42"/>
  <c r="DV9" i="42" s="1"/>
  <c r="EG9" i="42" s="1"/>
  <c r="ER9" i="42" s="1"/>
  <c r="DA5" i="42"/>
  <c r="DW5" i="42" s="1"/>
  <c r="EH5" i="42" s="1"/>
  <c r="ES5" i="42" s="1"/>
  <c r="CV7" i="42"/>
  <c r="DR7" i="42" s="1"/>
  <c r="EC7" i="42" s="1"/>
  <c r="EN7" i="42" s="1"/>
  <c r="CV5" i="42"/>
  <c r="DR5" i="42" s="1"/>
  <c r="EC5" i="42" s="1"/>
  <c r="EN5" i="42" s="1"/>
  <c r="CZ5" i="42"/>
  <c r="DV5" i="42" s="1"/>
  <c r="EG5" i="42" s="1"/>
  <c r="ER5" i="42" s="1"/>
  <c r="CV11" i="43"/>
  <c r="DR11" i="43" s="1"/>
  <c r="EC11" i="43" s="1"/>
  <c r="EN11" i="43" s="1"/>
  <c r="DA11" i="43"/>
  <c r="DW11" i="43" s="1"/>
  <c r="EH11" i="43" s="1"/>
  <c r="ES11" i="43" s="1"/>
  <c r="CT7" i="42"/>
  <c r="DP7" i="42" s="1"/>
  <c r="EA7" i="42" s="1"/>
  <c r="EL7" i="42" s="1"/>
  <c r="CU7" i="42"/>
  <c r="DQ7" i="42" s="1"/>
  <c r="EB7" i="42" s="1"/>
  <c r="EM7" i="42" s="1"/>
  <c r="CS7" i="42"/>
  <c r="CU5" i="42"/>
  <c r="DC11" i="43"/>
  <c r="AM11" i="43" s="1"/>
  <c r="CT5" i="2"/>
  <c r="DP5" i="2" s="1"/>
  <c r="EA5" i="2" s="1"/>
  <c r="EL5" i="2" s="1"/>
  <c r="CR29" i="2"/>
  <c r="DO29" i="2"/>
  <c r="DZ29" i="2" s="1"/>
  <c r="EK29" i="2" s="1"/>
  <c r="CR5" i="2"/>
  <c r="DN5" i="2" s="1"/>
  <c r="CY5" i="2"/>
  <c r="DU5" i="2" s="1"/>
  <c r="EF5" i="2" s="1"/>
  <c r="EQ5" i="2" s="1"/>
  <c r="CT29" i="2"/>
  <c r="DP29" i="2" s="1"/>
  <c r="EA29" i="2" s="1"/>
  <c r="EL29" i="2" s="1"/>
  <c r="CV5" i="2"/>
  <c r="DR5" i="2" s="1"/>
  <c r="EC5" i="2" s="1"/>
  <c r="EN5" i="2" s="1"/>
  <c r="CX5" i="2"/>
  <c r="DT5" i="2" s="1"/>
  <c r="EE5" i="2" s="1"/>
  <c r="EP5" i="2" s="1"/>
  <c r="CW5" i="2"/>
  <c r="DS5" i="2" s="1"/>
  <c r="ED5" i="2" s="1"/>
  <c r="EO5" i="2" s="1"/>
  <c r="CX29" i="2"/>
  <c r="DT29" i="2" s="1"/>
  <c r="EE29" i="2" s="1"/>
  <c r="EP29" i="2" s="1"/>
  <c r="DA5" i="2"/>
  <c r="DW5" i="2" s="1"/>
  <c r="EH5" i="2" s="1"/>
  <c r="ES5" i="2" s="1"/>
  <c r="CU29" i="2"/>
  <c r="DQ29" i="2" s="1"/>
  <c r="EB29" i="2" s="1"/>
  <c r="EM29" i="2" s="1"/>
  <c r="CZ29" i="2"/>
  <c r="DV29" i="2" s="1"/>
  <c r="EG29" i="2" s="1"/>
  <c r="ER29" i="2" s="1"/>
  <c r="CZ5" i="2"/>
  <c r="DV5" i="2" s="1"/>
  <c r="EG5" i="2" s="1"/>
  <c r="ER5" i="2" s="1"/>
  <c r="DA29" i="2"/>
  <c r="DW29" i="2" s="1"/>
  <c r="EH29" i="2" s="1"/>
  <c r="ES29" i="2" s="1"/>
  <c r="CY29" i="2"/>
  <c r="DU29" i="2" s="1"/>
  <c r="EF29" i="2" s="1"/>
  <c r="EQ29" i="2" s="1"/>
  <c r="CV29" i="2"/>
  <c r="DR29" i="2" s="1"/>
  <c r="EC29" i="2" s="1"/>
  <c r="EN29" i="2" s="1"/>
  <c r="CU5" i="2"/>
  <c r="DQ5" i="2" s="1"/>
  <c r="EB5" i="2" s="1"/>
  <c r="EM5" i="2" s="1"/>
  <c r="CW29" i="2"/>
  <c r="DS29" i="2" s="1"/>
  <c r="ED29" i="2" s="1"/>
  <c r="EO29" i="2" s="1"/>
  <c r="CS5" i="2"/>
  <c r="DO5" i="2" s="1"/>
  <c r="DZ5" i="2" s="1"/>
  <c r="EK5" i="2" s="1"/>
  <c r="DY6" i="39"/>
  <c r="DZ6" i="39"/>
  <c r="AU6" i="49"/>
  <c r="U6" i="49" s="1"/>
  <c r="V6" i="49" s="1"/>
  <c r="DY47" i="2"/>
  <c r="EI47" i="2" s="1"/>
  <c r="AO47" i="2" s="1"/>
  <c r="AP47" i="2" s="1"/>
  <c r="DX47" i="2"/>
  <c r="DY13" i="43"/>
  <c r="DZ13" i="43"/>
  <c r="EJ13" i="43" s="1"/>
  <c r="F34" i="50"/>
  <c r="E34" i="50"/>
  <c r="BD4" i="33"/>
  <c r="CR8" i="34" l="1"/>
  <c r="CT8" i="34" s="1"/>
  <c r="CX8" i="34" s="1"/>
  <c r="F24" i="50"/>
  <c r="F25" i="50" s="1"/>
  <c r="F41" i="50" s="1"/>
  <c r="CR6" i="34"/>
  <c r="CT6" i="34" s="1"/>
  <c r="CR9" i="34"/>
  <c r="CT9" i="34" s="1"/>
  <c r="EJ47" i="2"/>
  <c r="ET47" i="2" s="1"/>
  <c r="AQ47" i="2" s="1"/>
  <c r="AR47" i="2" s="1"/>
  <c r="AV6" i="49"/>
  <c r="W6" i="49" s="1"/>
  <c r="X6" i="49" s="1"/>
  <c r="CR11" i="34"/>
  <c r="CT11" i="34" s="1"/>
  <c r="DA11" i="34" s="1"/>
  <c r="DG11" i="34" s="1"/>
  <c r="EK8" i="43"/>
  <c r="EU8" i="43" s="1"/>
  <c r="AQ8" i="43" s="1"/>
  <c r="AR8" i="43" s="1"/>
  <c r="CR10" i="34"/>
  <c r="CT10" i="34" s="1"/>
  <c r="CX10" i="34" s="1"/>
  <c r="CR7" i="34"/>
  <c r="CT7" i="34" s="1"/>
  <c r="DO7" i="42"/>
  <c r="DC7" i="42"/>
  <c r="AM7" i="42" s="1"/>
  <c r="EK5" i="42"/>
  <c r="EK13" i="43"/>
  <c r="EU13" i="43" s="1"/>
  <c r="DC9" i="42"/>
  <c r="AM9" i="42" s="1"/>
  <c r="DO9" i="42"/>
  <c r="DY11" i="43"/>
  <c r="DZ11" i="43"/>
  <c r="EJ11" i="43" s="1"/>
  <c r="AO11" i="43" s="1"/>
  <c r="AP11" i="43" s="1"/>
  <c r="CR12" i="34"/>
  <c r="CT12" i="34" s="1"/>
  <c r="AT9" i="49"/>
  <c r="S9" i="49"/>
  <c r="AU7" i="49"/>
  <c r="U7" i="49" s="1"/>
  <c r="V7" i="49" s="1"/>
  <c r="EK6" i="39"/>
  <c r="EU6" i="39" s="1"/>
  <c r="AQ6" i="39" s="1"/>
  <c r="EJ6" i="39"/>
  <c r="AO6" i="39" s="1"/>
  <c r="AP6" i="39" s="1"/>
  <c r="CX9" i="34"/>
  <c r="DA9" i="34"/>
  <c r="DO8" i="39"/>
  <c r="DC8" i="39"/>
  <c r="AM8" i="39" s="1"/>
  <c r="BC4" i="33"/>
  <c r="BB4" i="33" s="1"/>
  <c r="CV5" i="45"/>
  <c r="DR5" i="45" s="1"/>
  <c r="EC5" i="45" s="1"/>
  <c r="EN5" i="45" s="1"/>
  <c r="CY7" i="43"/>
  <c r="DU7" i="43" s="1"/>
  <c r="EF7" i="43" s="1"/>
  <c r="EQ7" i="43" s="1"/>
  <c r="CY5" i="45"/>
  <c r="DU5" i="45" s="1"/>
  <c r="EF5" i="45" s="1"/>
  <c r="EQ5" i="45" s="1"/>
  <c r="CT5" i="45"/>
  <c r="DP5" i="45" s="1"/>
  <c r="EA5" i="45" s="1"/>
  <c r="EL5" i="45" s="1"/>
  <c r="DB5" i="45"/>
  <c r="DX5" i="45" s="1"/>
  <c r="EI5" i="45" s="1"/>
  <c r="ET5" i="45" s="1"/>
  <c r="CX7" i="43"/>
  <c r="DT7" i="43" s="1"/>
  <c r="EE7" i="43" s="1"/>
  <c r="EP7" i="43" s="1"/>
  <c r="CS7" i="43"/>
  <c r="DO7" i="43" s="1"/>
  <c r="DA7" i="43"/>
  <c r="DW7" i="43" s="1"/>
  <c r="EH7" i="43" s="1"/>
  <c r="ES7" i="43" s="1"/>
  <c r="CU5" i="45"/>
  <c r="DQ5" i="45" s="1"/>
  <c r="EB5" i="45" s="1"/>
  <c r="EM5" i="45" s="1"/>
  <c r="DA5" i="45"/>
  <c r="DW5" i="45" s="1"/>
  <c r="EH5" i="45" s="1"/>
  <c r="ES5" i="45" s="1"/>
  <c r="CW5" i="45"/>
  <c r="DS5" i="45" s="1"/>
  <c r="ED5" i="45" s="1"/>
  <c r="EO5" i="45" s="1"/>
  <c r="DB7" i="43"/>
  <c r="DX7" i="43" s="1"/>
  <c r="EI7" i="43" s="1"/>
  <c r="ET7" i="43" s="1"/>
  <c r="CZ5" i="45"/>
  <c r="DV5" i="45" s="1"/>
  <c r="EG5" i="45" s="1"/>
  <c r="ER5" i="45" s="1"/>
  <c r="CU7" i="43"/>
  <c r="DQ7" i="43" s="1"/>
  <c r="EB7" i="43" s="1"/>
  <c r="EM7" i="43" s="1"/>
  <c r="CV7" i="43"/>
  <c r="DR7" i="43" s="1"/>
  <c r="EC7" i="43" s="1"/>
  <c r="EN7" i="43" s="1"/>
  <c r="CW7" i="43"/>
  <c r="DS7" i="43" s="1"/>
  <c r="ED7" i="43" s="1"/>
  <c r="EO7" i="43" s="1"/>
  <c r="CZ7" i="43"/>
  <c r="DV7" i="43" s="1"/>
  <c r="EG7" i="43" s="1"/>
  <c r="ER7" i="43" s="1"/>
  <c r="CX5" i="45"/>
  <c r="DT5" i="45" s="1"/>
  <c r="EE5" i="45" s="1"/>
  <c r="EP5" i="45" s="1"/>
  <c r="CT7" i="43"/>
  <c r="DP7" i="43" s="1"/>
  <c r="EA7" i="43" s="1"/>
  <c r="EL7" i="43" s="1"/>
  <c r="CS5" i="45"/>
  <c r="DC7" i="43"/>
  <c r="AM7" i="43" s="1"/>
  <c r="AQ5" i="57"/>
  <c r="CR5" i="34"/>
  <c r="CT5" i="34" s="1"/>
  <c r="S7" i="48"/>
  <c r="AT7" i="48"/>
  <c r="AU7" i="48" s="1"/>
  <c r="DB29" i="2"/>
  <c r="AM29" i="2" s="1"/>
  <c r="DA6" i="34"/>
  <c r="CX6" i="34"/>
  <c r="S8" i="48"/>
  <c r="AT8" i="48"/>
  <c r="DN29" i="2"/>
  <c r="DX29" i="2" s="1"/>
  <c r="DB5" i="2"/>
  <c r="AM5" i="2" s="1"/>
  <c r="DC5" i="42"/>
  <c r="AM5" i="42" s="1"/>
  <c r="DQ5" i="42"/>
  <c r="DC8" i="42"/>
  <c r="AM8" i="42" s="1"/>
  <c r="DO8" i="42"/>
  <c r="DA8" i="34"/>
  <c r="S9" i="48"/>
  <c r="AT9" i="48"/>
  <c r="EK12" i="43"/>
  <c r="EU12" i="43" s="1"/>
  <c r="AQ12" i="43" s="1"/>
  <c r="AR12" i="43" s="1"/>
  <c r="E25" i="50"/>
  <c r="E41" i="50" s="1"/>
  <c r="DX5" i="2"/>
  <c r="DY5" i="2"/>
  <c r="EI5" i="2" s="1"/>
  <c r="AO5" i="2" s="1"/>
  <c r="CX11" i="34" l="1"/>
  <c r="DY29" i="2"/>
  <c r="EI29" i="2" s="1"/>
  <c r="AO29" i="2" s="1"/>
  <c r="AP29" i="2" s="1"/>
  <c r="DE11" i="34"/>
  <c r="DH11" i="34" s="1"/>
  <c r="DK11" i="34" s="1"/>
  <c r="DA7" i="34"/>
  <c r="CX7" i="34"/>
  <c r="DA10" i="34"/>
  <c r="AU9" i="48"/>
  <c r="U9" i="48" s="1"/>
  <c r="V9" i="48" s="1"/>
  <c r="DG6" i="34"/>
  <c r="DE6" i="34"/>
  <c r="DH6" i="34" s="1"/>
  <c r="CX5" i="34"/>
  <c r="DA5" i="34"/>
  <c r="CW39" i="2"/>
  <c r="DS39" i="2" s="1"/>
  <c r="ED39" i="2" s="1"/>
  <c r="EO39" i="2" s="1"/>
  <c r="CV39" i="2"/>
  <c r="DR39" i="2" s="1"/>
  <c r="EC39" i="2" s="1"/>
  <c r="EN39" i="2" s="1"/>
  <c r="CX39" i="2"/>
  <c r="DT39" i="2" s="1"/>
  <c r="EE39" i="2" s="1"/>
  <c r="EP39" i="2" s="1"/>
  <c r="CY39" i="2"/>
  <c r="DU39" i="2" s="1"/>
  <c r="EF39" i="2" s="1"/>
  <c r="EQ39" i="2" s="1"/>
  <c r="CV40" i="2"/>
  <c r="DR40" i="2" s="1"/>
  <c r="EC40" i="2" s="1"/>
  <c r="EN40" i="2" s="1"/>
  <c r="CU39" i="2"/>
  <c r="DQ39" i="2" s="1"/>
  <c r="EB39" i="2" s="1"/>
  <c r="EM39" i="2" s="1"/>
  <c r="CR39" i="2"/>
  <c r="DN39" i="2" s="1"/>
  <c r="DO40" i="2"/>
  <c r="DZ40" i="2" s="1"/>
  <c r="EK40" i="2" s="1"/>
  <c r="CT39" i="2"/>
  <c r="DP39" i="2" s="1"/>
  <c r="EA39" i="2" s="1"/>
  <c r="EL39" i="2" s="1"/>
  <c r="CT40" i="2"/>
  <c r="DP40" i="2" s="1"/>
  <c r="EA40" i="2" s="1"/>
  <c r="EL40" i="2" s="1"/>
  <c r="CW40" i="2"/>
  <c r="DS40" i="2" s="1"/>
  <c r="ED40" i="2" s="1"/>
  <c r="EO40" i="2" s="1"/>
  <c r="DA40" i="2"/>
  <c r="DW40" i="2" s="1"/>
  <c r="EH40" i="2" s="1"/>
  <c r="ES40" i="2" s="1"/>
  <c r="CU40" i="2"/>
  <c r="DQ40" i="2" s="1"/>
  <c r="EB40" i="2" s="1"/>
  <c r="EM40" i="2" s="1"/>
  <c r="CZ40" i="2"/>
  <c r="DV40" i="2" s="1"/>
  <c r="EG40" i="2" s="1"/>
  <c r="ER40" i="2" s="1"/>
  <c r="DO39" i="2"/>
  <c r="DZ39" i="2" s="1"/>
  <c r="EK39" i="2" s="1"/>
  <c r="CY40" i="2"/>
  <c r="DU40" i="2" s="1"/>
  <c r="EF40" i="2" s="1"/>
  <c r="EQ40" i="2" s="1"/>
  <c r="DA39" i="2"/>
  <c r="DW39" i="2" s="1"/>
  <c r="EH39" i="2" s="1"/>
  <c r="ES39" i="2" s="1"/>
  <c r="CR40" i="2"/>
  <c r="DN40" i="2" s="1"/>
  <c r="CZ39" i="2"/>
  <c r="DV39" i="2" s="1"/>
  <c r="EG39" i="2" s="1"/>
  <c r="ER39" i="2" s="1"/>
  <c r="CX40" i="2"/>
  <c r="DT40" i="2" s="1"/>
  <c r="EE40" i="2" s="1"/>
  <c r="EP40" i="2" s="1"/>
  <c r="DY9" i="42"/>
  <c r="DZ9" i="42"/>
  <c r="DG9" i="34"/>
  <c r="DE9" i="34"/>
  <c r="DH9" i="34" s="1"/>
  <c r="AU9" i="49"/>
  <c r="U9" i="49" s="1"/>
  <c r="V9" i="49" s="1"/>
  <c r="CY45" i="2"/>
  <c r="DU45" i="2" s="1"/>
  <c r="EF45" i="2" s="1"/>
  <c r="EQ45" i="2" s="1"/>
  <c r="CS7" i="2"/>
  <c r="DO7" i="2" s="1"/>
  <c r="DZ7" i="2" s="1"/>
  <c r="EK7" i="2" s="1"/>
  <c r="CW7" i="2"/>
  <c r="DS7" i="2" s="1"/>
  <c r="ED7" i="2" s="1"/>
  <c r="EO7" i="2" s="1"/>
  <c r="CR10" i="2"/>
  <c r="CU45" i="2"/>
  <c r="DQ45" i="2" s="1"/>
  <c r="EB45" i="2" s="1"/>
  <c r="EM45" i="2" s="1"/>
  <c r="CT10" i="2"/>
  <c r="DP10" i="2" s="1"/>
  <c r="EA10" i="2" s="1"/>
  <c r="EL10" i="2" s="1"/>
  <c r="CT45" i="2"/>
  <c r="DP45" i="2" s="1"/>
  <c r="CZ45" i="2"/>
  <c r="DV45" i="2" s="1"/>
  <c r="EG45" i="2" s="1"/>
  <c r="ER45" i="2" s="1"/>
  <c r="DO45" i="2"/>
  <c r="DZ45" i="2" s="1"/>
  <c r="EK45" i="2" s="1"/>
  <c r="CR7" i="2"/>
  <c r="CX7" i="2"/>
  <c r="DT7" i="2" s="1"/>
  <c r="EE7" i="2" s="1"/>
  <c r="EP7" i="2" s="1"/>
  <c r="CT7" i="2"/>
  <c r="DP7" i="2" s="1"/>
  <c r="EA7" i="2" s="1"/>
  <c r="EL7" i="2" s="1"/>
  <c r="CX45" i="2"/>
  <c r="DT45" i="2" s="1"/>
  <c r="EE45" i="2" s="1"/>
  <c r="EP45" i="2" s="1"/>
  <c r="CR45" i="2"/>
  <c r="CS10" i="2"/>
  <c r="DO10" i="2" s="1"/>
  <c r="DA45" i="2"/>
  <c r="DW45" i="2" s="1"/>
  <c r="CW45" i="2"/>
  <c r="DS45" i="2" s="1"/>
  <c r="CV45" i="2"/>
  <c r="DR45" i="2" s="1"/>
  <c r="EC45" i="2" s="1"/>
  <c r="EN45" i="2" s="1"/>
  <c r="DA10" i="2"/>
  <c r="DW10" i="2" s="1"/>
  <c r="EH10" i="2" s="1"/>
  <c r="ES10" i="2" s="1"/>
  <c r="CY7" i="2"/>
  <c r="DU7" i="2" s="1"/>
  <c r="EF7" i="2" s="1"/>
  <c r="EQ7" i="2" s="1"/>
  <c r="CZ10" i="2"/>
  <c r="DV10" i="2" s="1"/>
  <c r="EG10" i="2" s="1"/>
  <c r="ER10" i="2" s="1"/>
  <c r="CU7" i="2"/>
  <c r="DQ7" i="2" s="1"/>
  <c r="EB7" i="2" s="1"/>
  <c r="EM7" i="2" s="1"/>
  <c r="CX10" i="2"/>
  <c r="DT10" i="2" s="1"/>
  <c r="EE10" i="2" s="1"/>
  <c r="EP10" i="2" s="1"/>
  <c r="DA7" i="2"/>
  <c r="DW7" i="2" s="1"/>
  <c r="EH7" i="2" s="1"/>
  <c r="ES7" i="2" s="1"/>
  <c r="CV10" i="2"/>
  <c r="DR10" i="2" s="1"/>
  <c r="EC10" i="2" s="1"/>
  <c r="EN10" i="2" s="1"/>
  <c r="CY10" i="2"/>
  <c r="DU10" i="2" s="1"/>
  <c r="EF10" i="2" s="1"/>
  <c r="EQ10" i="2" s="1"/>
  <c r="CU10" i="2"/>
  <c r="DQ10" i="2" s="1"/>
  <c r="EB10" i="2" s="1"/>
  <c r="EM10" i="2" s="1"/>
  <c r="CZ7" i="2"/>
  <c r="DV7" i="2" s="1"/>
  <c r="EG7" i="2" s="1"/>
  <c r="ER7" i="2" s="1"/>
  <c r="CW10" i="2"/>
  <c r="DS10" i="2" s="1"/>
  <c r="ED10" i="2" s="1"/>
  <c r="EO10" i="2" s="1"/>
  <c r="CV7" i="2"/>
  <c r="DR7" i="2" s="1"/>
  <c r="EC7" i="2" s="1"/>
  <c r="EN7" i="2" s="1"/>
  <c r="DC5" i="45"/>
  <c r="AM5" i="45" s="1"/>
  <c r="DO5" i="45"/>
  <c r="DY5" i="42"/>
  <c r="EB5" i="42"/>
  <c r="AV7" i="48"/>
  <c r="W7" i="48" s="1"/>
  <c r="U7" i="48"/>
  <c r="V7" i="48" s="1"/>
  <c r="DY7" i="43"/>
  <c r="DZ7" i="43"/>
  <c r="EJ7" i="43" s="1"/>
  <c r="AO7" i="43" s="1"/>
  <c r="AP7" i="43" s="1"/>
  <c r="AR6" i="39"/>
  <c r="DA12" i="34"/>
  <c r="CX12" i="34"/>
  <c r="EK11" i="43"/>
  <c r="EU11" i="43" s="1"/>
  <c r="AQ11" i="43" s="1"/>
  <c r="AR11" i="43" s="1"/>
  <c r="DZ8" i="42"/>
  <c r="DY8" i="42"/>
  <c r="W5" i="57"/>
  <c r="AT5" i="57"/>
  <c r="DE8" i="34"/>
  <c r="DH8" i="34" s="1"/>
  <c r="DG8" i="34"/>
  <c r="AU8" i="48"/>
  <c r="U8" i="48" s="1"/>
  <c r="V8" i="48" s="1"/>
  <c r="DZ8" i="39"/>
  <c r="EJ8" i="39" s="1"/>
  <c r="AO8" i="39" s="1"/>
  <c r="AP8" i="39" s="1"/>
  <c r="DY8" i="39"/>
  <c r="AV7" i="49"/>
  <c r="W7" i="49" s="1"/>
  <c r="X7" i="49" s="1"/>
  <c r="DZ7" i="42"/>
  <c r="EJ7" i="42" s="1"/>
  <c r="AO7" i="42" s="1"/>
  <c r="AP7" i="42" s="1"/>
  <c r="DY7" i="42"/>
  <c r="AP5" i="2"/>
  <c r="BA4" i="33"/>
  <c r="EJ5" i="2"/>
  <c r="ET5" i="2" s="1"/>
  <c r="AQ5" i="2" s="1"/>
  <c r="EJ29" i="2" l="1"/>
  <c r="ET29" i="2" s="1"/>
  <c r="AQ29" i="2" s="1"/>
  <c r="AR29" i="2" s="1"/>
  <c r="EK7" i="43"/>
  <c r="EU7" i="43" s="1"/>
  <c r="AQ7" i="43" s="1"/>
  <c r="EK7" i="42"/>
  <c r="EU7" i="42" s="1"/>
  <c r="AQ7" i="42" s="1"/>
  <c r="AR7" i="42" s="1"/>
  <c r="AV9" i="48"/>
  <c r="W9" i="48" s="1"/>
  <c r="X9" i="48" s="1"/>
  <c r="EK8" i="39"/>
  <c r="EU8" i="39" s="1"/>
  <c r="AQ8" i="39" s="1"/>
  <c r="AR8" i="39" s="1"/>
  <c r="AR5" i="2"/>
  <c r="DG10" i="34"/>
  <c r="DE10" i="34"/>
  <c r="DH10" i="34" s="1"/>
  <c r="DE7" i="34"/>
  <c r="DH7" i="34" s="1"/>
  <c r="DG7" i="34"/>
  <c r="EK8" i="42"/>
  <c r="EU8" i="42" s="1"/>
  <c r="AQ8" i="42" s="1"/>
  <c r="EJ8" i="42"/>
  <c r="AO8" i="42" s="1"/>
  <c r="AP8" i="42" s="1"/>
  <c r="AV8" i="48"/>
  <c r="W8" i="48" s="1"/>
  <c r="X8" i="48" s="1"/>
  <c r="AU5" i="57"/>
  <c r="Y5" i="57" s="1"/>
  <c r="Y34" i="57" s="1"/>
  <c r="AR7" i="43"/>
  <c r="EM5" i="42"/>
  <c r="EU5" i="42" s="1"/>
  <c r="AQ5" i="42" s="1"/>
  <c r="EJ5" i="42"/>
  <c r="AO5" i="42" s="1"/>
  <c r="DZ5" i="45"/>
  <c r="EJ5" i="45" s="1"/>
  <c r="AO5" i="45" s="1"/>
  <c r="DY5" i="45"/>
  <c r="DB45" i="2"/>
  <c r="AM45" i="2" s="1"/>
  <c r="DB7" i="2"/>
  <c r="AM7" i="2" s="1"/>
  <c r="DB39" i="2"/>
  <c r="AM39" i="2" s="1"/>
  <c r="DO15" i="2"/>
  <c r="DZ15" i="2" s="1"/>
  <c r="EK15" i="2" s="1"/>
  <c r="CU15" i="2"/>
  <c r="DQ15" i="2" s="1"/>
  <c r="EB15" i="2" s="1"/>
  <c r="EM15" i="2" s="1"/>
  <c r="CR15" i="2"/>
  <c r="CT14" i="2"/>
  <c r="DP14" i="2" s="1"/>
  <c r="EA14" i="2" s="1"/>
  <c r="EL14" i="2" s="1"/>
  <c r="CR14" i="2"/>
  <c r="DO14" i="2"/>
  <c r="DZ14" i="2" s="1"/>
  <c r="EK14" i="2" s="1"/>
  <c r="CT15" i="2"/>
  <c r="DP15" i="2" s="1"/>
  <c r="EA15" i="2" s="1"/>
  <c r="EL15" i="2" s="1"/>
  <c r="CU14" i="2"/>
  <c r="DQ14" i="2" s="1"/>
  <c r="EB14" i="2" s="1"/>
  <c r="EM14" i="2" s="1"/>
  <c r="CZ14" i="2"/>
  <c r="DV14" i="2" s="1"/>
  <c r="EG14" i="2" s="1"/>
  <c r="ER14" i="2" s="1"/>
  <c r="CX15" i="2"/>
  <c r="DT15" i="2" s="1"/>
  <c r="DA14" i="2"/>
  <c r="DW14" i="2" s="1"/>
  <c r="EH14" i="2" s="1"/>
  <c r="ES14" i="2" s="1"/>
  <c r="CX14" i="2"/>
  <c r="DT14" i="2" s="1"/>
  <c r="EE14" i="2" s="1"/>
  <c r="EP14" i="2" s="1"/>
  <c r="CY15" i="2"/>
  <c r="DU15" i="2" s="1"/>
  <c r="EF15" i="2" s="1"/>
  <c r="EQ15" i="2" s="1"/>
  <c r="CY14" i="2"/>
  <c r="DU14" i="2" s="1"/>
  <c r="EF14" i="2" s="1"/>
  <c r="EQ14" i="2" s="1"/>
  <c r="CV14" i="2"/>
  <c r="DR14" i="2" s="1"/>
  <c r="EC14" i="2" s="1"/>
  <c r="EN14" i="2" s="1"/>
  <c r="DA15" i="2"/>
  <c r="DW15" i="2" s="1"/>
  <c r="EH15" i="2" s="1"/>
  <c r="ES15" i="2" s="1"/>
  <c r="CZ15" i="2"/>
  <c r="DV15" i="2" s="1"/>
  <c r="EG15" i="2" s="1"/>
  <c r="ER15" i="2" s="1"/>
  <c r="CW14" i="2"/>
  <c r="DS14" i="2" s="1"/>
  <c r="ED14" i="2" s="1"/>
  <c r="EO14" i="2" s="1"/>
  <c r="CW15" i="2"/>
  <c r="DS15" i="2" s="1"/>
  <c r="ED15" i="2" s="1"/>
  <c r="EO15" i="2" s="1"/>
  <c r="CV15" i="2"/>
  <c r="DR15" i="2" s="1"/>
  <c r="EC15" i="2" s="1"/>
  <c r="EN15" i="2" s="1"/>
  <c r="DK8" i="34"/>
  <c r="W34" i="57"/>
  <c r="DG12" i="34"/>
  <c r="DE12" i="34"/>
  <c r="DH12" i="34" s="1"/>
  <c r="EK9" i="42"/>
  <c r="EU9" i="42" s="1"/>
  <c r="AQ9" i="42" s="1"/>
  <c r="EJ9" i="42"/>
  <c r="AO9" i="42" s="1"/>
  <c r="AP9" i="42" s="1"/>
  <c r="DB40" i="2"/>
  <c r="AM40" i="2" s="1"/>
  <c r="DG5" i="34"/>
  <c r="DE5" i="34"/>
  <c r="DH5" i="34" s="1"/>
  <c r="DK6" i="34"/>
  <c r="X7" i="48"/>
  <c r="DB10" i="2"/>
  <c r="AM10" i="2" s="1"/>
  <c r="AV9" i="49"/>
  <c r="W9" i="49" s="1"/>
  <c r="X9" i="49" s="1"/>
  <c r="DK9" i="34"/>
  <c r="DZ10" i="2"/>
  <c r="EK10" i="2" s="1"/>
  <c r="EH45" i="2"/>
  <c r="ES45" i="2" s="1"/>
  <c r="DY40" i="2"/>
  <c r="EI40" i="2" s="1"/>
  <c r="AO40" i="2" s="1"/>
  <c r="DX40" i="2"/>
  <c r="EA45" i="2"/>
  <c r="EL45" i="2" s="1"/>
  <c r="DN7" i="2"/>
  <c r="DY39" i="2"/>
  <c r="EI39" i="2" s="1"/>
  <c r="AO39" i="2" s="1"/>
  <c r="DN10" i="2"/>
  <c r="DN45" i="2"/>
  <c r="DX45" i="2" s="1"/>
  <c r="ED45" i="2"/>
  <c r="EO45" i="2" s="1"/>
  <c r="AZ4" i="33"/>
  <c r="DX39" i="2"/>
  <c r="H6" i="32"/>
  <c r="I6" i="32"/>
  <c r="H7" i="32"/>
  <c r="I7" i="32"/>
  <c r="H8" i="32"/>
  <c r="I8" i="32"/>
  <c r="H9" i="32"/>
  <c r="I9" i="32"/>
  <c r="H10" i="32"/>
  <c r="I10" i="32"/>
  <c r="H11" i="32"/>
  <c r="I11" i="32"/>
  <c r="H12" i="32"/>
  <c r="I12" i="32"/>
  <c r="H13" i="32"/>
  <c r="I13" i="32"/>
  <c r="H14" i="32"/>
  <c r="I14" i="32"/>
  <c r="H15" i="32"/>
  <c r="I15" i="32"/>
  <c r="H16" i="32"/>
  <c r="I16" i="32"/>
  <c r="H17" i="32"/>
  <c r="I17" i="32"/>
  <c r="H19" i="32"/>
  <c r="J19" i="32" s="1"/>
  <c r="I19" i="32"/>
  <c r="K19" i="32" s="1"/>
  <c r="AP5" i="45" l="1"/>
  <c r="AV5" i="57"/>
  <c r="AA5" i="57" s="1"/>
  <c r="Z5" i="57"/>
  <c r="Z34" i="57" s="1"/>
  <c r="AP39" i="2"/>
  <c r="AP40" i="2"/>
  <c r="DK10" i="34"/>
  <c r="DK7" i="34"/>
  <c r="DK12" i="34"/>
  <c r="AR9" i="42"/>
  <c r="AQ6" i="48"/>
  <c r="EW6" i="43"/>
  <c r="EZ6" i="43" s="1"/>
  <c r="FA6" i="43" s="1"/>
  <c r="FB6" i="43" s="1"/>
  <c r="DA42" i="2"/>
  <c r="DW42" i="2" s="1"/>
  <c r="DO32" i="2"/>
  <c r="DZ32" i="2" s="1"/>
  <c r="EK32" i="2" s="1"/>
  <c r="CT33" i="2"/>
  <c r="DP33" i="2" s="1"/>
  <c r="CX32" i="2"/>
  <c r="DT32" i="2" s="1"/>
  <c r="EE32" i="2" s="1"/>
  <c r="EP32" i="2" s="1"/>
  <c r="CY32" i="2"/>
  <c r="DU32" i="2" s="1"/>
  <c r="CZ41" i="2"/>
  <c r="DV41" i="2" s="1"/>
  <c r="EG41" i="2" s="1"/>
  <c r="ER41" i="2" s="1"/>
  <c r="DO34" i="2"/>
  <c r="DZ34" i="2" s="1"/>
  <c r="EK34" i="2" s="1"/>
  <c r="CT42" i="2"/>
  <c r="DP42" i="2" s="1"/>
  <c r="DA41" i="2"/>
  <c r="DW41" i="2" s="1"/>
  <c r="EH41" i="2" s="1"/>
  <c r="ES41" i="2" s="1"/>
  <c r="CW32" i="2"/>
  <c r="DS32" i="2" s="1"/>
  <c r="ED32" i="2" s="1"/>
  <c r="EO32" i="2" s="1"/>
  <c r="CX34" i="2"/>
  <c r="DT34" i="2" s="1"/>
  <c r="EE34" i="2" s="1"/>
  <c r="EP34" i="2" s="1"/>
  <c r="CU44" i="2"/>
  <c r="DQ44" i="2" s="1"/>
  <c r="CZ44" i="2"/>
  <c r="DV44" i="2" s="1"/>
  <c r="EG44" i="2" s="1"/>
  <c r="ER44" i="2" s="1"/>
  <c r="CX42" i="2"/>
  <c r="DT42" i="2" s="1"/>
  <c r="EE42" i="2" s="1"/>
  <c r="EP42" i="2" s="1"/>
  <c r="CZ43" i="2"/>
  <c r="DV43" i="2" s="1"/>
  <c r="EG43" i="2" s="1"/>
  <c r="ER43" i="2" s="1"/>
  <c r="DA32" i="2"/>
  <c r="DW32" i="2" s="1"/>
  <c r="DA33" i="2"/>
  <c r="DW33" i="2" s="1"/>
  <c r="EH33" i="2" s="1"/>
  <c r="ES33" i="2" s="1"/>
  <c r="CW33" i="2"/>
  <c r="DS33" i="2" s="1"/>
  <c r="ED33" i="2" s="1"/>
  <c r="EO33" i="2" s="1"/>
  <c r="CY44" i="2"/>
  <c r="DU44" i="2" s="1"/>
  <c r="CR33" i="2"/>
  <c r="CU33" i="2"/>
  <c r="DQ33" i="2" s="1"/>
  <c r="EB33" i="2" s="1"/>
  <c r="EM33" i="2" s="1"/>
  <c r="CV44" i="2"/>
  <c r="DR44" i="2" s="1"/>
  <c r="EC44" i="2" s="1"/>
  <c r="EN44" i="2" s="1"/>
  <c r="DO33" i="2"/>
  <c r="DZ33" i="2" s="1"/>
  <c r="EK33" i="2" s="1"/>
  <c r="CT43" i="2"/>
  <c r="DP43" i="2" s="1"/>
  <c r="DO41" i="2"/>
  <c r="DZ41" i="2" s="1"/>
  <c r="EK41" i="2" s="1"/>
  <c r="CW43" i="2"/>
  <c r="DS43" i="2" s="1"/>
  <c r="ED43" i="2" s="1"/>
  <c r="EO43" i="2" s="1"/>
  <c r="CV32" i="2"/>
  <c r="DR32" i="2" s="1"/>
  <c r="EC32" i="2" s="1"/>
  <c r="EN32" i="2" s="1"/>
  <c r="CW34" i="2"/>
  <c r="DS34" i="2" s="1"/>
  <c r="DO43" i="2"/>
  <c r="DZ43" i="2" s="1"/>
  <c r="EK43" i="2" s="1"/>
  <c r="CX41" i="2"/>
  <c r="DT41" i="2" s="1"/>
  <c r="EE41" i="2" s="1"/>
  <c r="EP41" i="2" s="1"/>
  <c r="CU41" i="2"/>
  <c r="DQ41" i="2" s="1"/>
  <c r="EB41" i="2" s="1"/>
  <c r="EM41" i="2" s="1"/>
  <c r="CT34" i="2"/>
  <c r="DP34" i="2" s="1"/>
  <c r="DA43" i="2"/>
  <c r="DW43" i="2" s="1"/>
  <c r="CX43" i="2"/>
  <c r="DT43" i="2" s="1"/>
  <c r="CV41" i="2"/>
  <c r="DR41" i="2" s="1"/>
  <c r="EC41" i="2" s="1"/>
  <c r="EN41" i="2" s="1"/>
  <c r="CR34" i="2"/>
  <c r="CR44" i="2"/>
  <c r="DO44" i="2"/>
  <c r="DZ44" i="2" s="1"/>
  <c r="EK44" i="2" s="1"/>
  <c r="CY34" i="2"/>
  <c r="DU34" i="2" s="1"/>
  <c r="EF34" i="2" s="1"/>
  <c r="EQ34" i="2" s="1"/>
  <c r="DO42" i="2"/>
  <c r="CX44" i="2"/>
  <c r="DT44" i="2" s="1"/>
  <c r="EE44" i="2" s="1"/>
  <c r="EP44" i="2" s="1"/>
  <c r="CY41" i="2"/>
  <c r="DU41" i="2" s="1"/>
  <c r="EF41" i="2" s="1"/>
  <c r="EQ41" i="2" s="1"/>
  <c r="CV34" i="2"/>
  <c r="DR34" i="2" s="1"/>
  <c r="CV42" i="2"/>
  <c r="DR42" i="2" s="1"/>
  <c r="EC42" i="2" s="1"/>
  <c r="EN42" i="2" s="1"/>
  <c r="CT32" i="2"/>
  <c r="DP32" i="2" s="1"/>
  <c r="EA32" i="2" s="1"/>
  <c r="EL32" i="2" s="1"/>
  <c r="CU43" i="2"/>
  <c r="DQ43" i="2" s="1"/>
  <c r="EB43" i="2" s="1"/>
  <c r="EM43" i="2" s="1"/>
  <c r="CZ32" i="2"/>
  <c r="DV32" i="2" s="1"/>
  <c r="EG32" i="2" s="1"/>
  <c r="ER32" i="2" s="1"/>
  <c r="DA34" i="2"/>
  <c r="DW34" i="2" s="1"/>
  <c r="EH34" i="2" s="1"/>
  <c r="ES34" i="2" s="1"/>
  <c r="CZ33" i="2"/>
  <c r="DV33" i="2" s="1"/>
  <c r="EG33" i="2" s="1"/>
  <c r="ER33" i="2" s="1"/>
  <c r="CT41" i="2"/>
  <c r="DP41" i="2" s="1"/>
  <c r="EA41" i="2" s="1"/>
  <c r="EL41" i="2" s="1"/>
  <c r="CX33" i="2"/>
  <c r="DT33" i="2" s="1"/>
  <c r="EE33" i="2" s="1"/>
  <c r="EP33" i="2" s="1"/>
  <c r="CW41" i="2"/>
  <c r="DS41" i="2" s="1"/>
  <c r="ED41" i="2" s="1"/>
  <c r="EO41" i="2" s="1"/>
  <c r="CU32" i="2"/>
  <c r="DQ32" i="2" s="1"/>
  <c r="EB32" i="2" s="1"/>
  <c r="EM32" i="2" s="1"/>
  <c r="CV33" i="2"/>
  <c r="DR33" i="2" s="1"/>
  <c r="EC33" i="2" s="1"/>
  <c r="EN33" i="2" s="1"/>
  <c r="CV43" i="2"/>
  <c r="DR43" i="2" s="1"/>
  <c r="EC43" i="2" s="1"/>
  <c r="EN43" i="2" s="1"/>
  <c r="CR43" i="2"/>
  <c r="CR42" i="2"/>
  <c r="CR32" i="2"/>
  <c r="CW44" i="2"/>
  <c r="DS44" i="2" s="1"/>
  <c r="ED44" i="2" s="1"/>
  <c r="EO44" i="2" s="1"/>
  <c r="CY43" i="2"/>
  <c r="DU43" i="2" s="1"/>
  <c r="EF43" i="2" s="1"/>
  <c r="EQ43" i="2" s="1"/>
  <c r="CY33" i="2"/>
  <c r="DU33" i="2" s="1"/>
  <c r="EF33" i="2" s="1"/>
  <c r="EQ33" i="2" s="1"/>
  <c r="CT44" i="2"/>
  <c r="DP44" i="2" s="1"/>
  <c r="CU34" i="2"/>
  <c r="DQ34" i="2" s="1"/>
  <c r="EB34" i="2" s="1"/>
  <c r="EM34" i="2" s="1"/>
  <c r="CZ34" i="2"/>
  <c r="DV34" i="2" s="1"/>
  <c r="EG34" i="2" s="1"/>
  <c r="ER34" i="2" s="1"/>
  <c r="CZ42" i="2"/>
  <c r="DV42" i="2" s="1"/>
  <c r="CU42" i="2"/>
  <c r="DQ42" i="2" s="1"/>
  <c r="EB42" i="2" s="1"/>
  <c r="EM42" i="2" s="1"/>
  <c r="CW42" i="2"/>
  <c r="DS42" i="2" s="1"/>
  <c r="CY42" i="2"/>
  <c r="DU42" i="2" s="1"/>
  <c r="EF42" i="2" s="1"/>
  <c r="EQ42" i="2" s="1"/>
  <c r="CR41" i="2"/>
  <c r="DA44" i="2"/>
  <c r="DW44" i="2" s="1"/>
  <c r="EH44" i="2" s="1"/>
  <c r="ES44" i="2" s="1"/>
  <c r="AP5" i="42"/>
  <c r="DB14" i="2"/>
  <c r="AM14" i="2" s="1"/>
  <c r="DB15" i="2"/>
  <c r="AM15" i="2" s="1"/>
  <c r="EK5" i="45"/>
  <c r="EU5" i="45" s="1"/>
  <c r="AQ5" i="45" s="1"/>
  <c r="AR8" i="42"/>
  <c r="DK5" i="34"/>
  <c r="EE15" i="2"/>
  <c r="EP15" i="2" s="1"/>
  <c r="AY4" i="33"/>
  <c r="DY45" i="2"/>
  <c r="EJ45" i="2" s="1"/>
  <c r="ET45" i="2" s="1"/>
  <c r="AQ45" i="2" s="1"/>
  <c r="DY10" i="2"/>
  <c r="DX10" i="2"/>
  <c r="DN15" i="2"/>
  <c r="DX7" i="2"/>
  <c r="DY7" i="2"/>
  <c r="EI7" i="2" s="1"/>
  <c r="AO7" i="2" s="1"/>
  <c r="AP7" i="2" s="1"/>
  <c r="DN14" i="2"/>
  <c r="EJ39" i="2"/>
  <c r="ET39" i="2" s="1"/>
  <c r="AQ39" i="2" s="1"/>
  <c r="EJ40" i="2"/>
  <c r="ET40" i="2" s="1"/>
  <c r="AQ40" i="2" s="1"/>
  <c r="R157" i="11"/>
  <c r="H157" i="11"/>
  <c r="R149" i="11"/>
  <c r="H149" i="11"/>
  <c r="R140" i="11"/>
  <c r="I140" i="11"/>
  <c r="H140" i="11"/>
  <c r="R132" i="11"/>
  <c r="I132" i="11"/>
  <c r="H132" i="11"/>
  <c r="I124" i="11"/>
  <c r="R124" i="11"/>
  <c r="H124" i="11"/>
  <c r="R116" i="11"/>
  <c r="H116" i="11"/>
  <c r="R108" i="11"/>
  <c r="H108" i="11"/>
  <c r="R99" i="11"/>
  <c r="H99" i="11"/>
  <c r="R90" i="11"/>
  <c r="H90" i="11"/>
  <c r="AB5" i="57" l="1"/>
  <c r="AR39" i="2"/>
  <c r="AR40" i="2"/>
  <c r="T149" i="11"/>
  <c r="T132" i="11"/>
  <c r="T140" i="11"/>
  <c r="AR5" i="42"/>
  <c r="DB41" i="2"/>
  <c r="AM41" i="2" s="1"/>
  <c r="DN41" i="2"/>
  <c r="DB42" i="2"/>
  <c r="AM42" i="2" s="1"/>
  <c r="DB44" i="2"/>
  <c r="AM44" i="2" s="1"/>
  <c r="AX4" i="33"/>
  <c r="AQ12" i="48"/>
  <c r="DB32" i="2"/>
  <c r="AM32" i="2" s="1"/>
  <c r="T90" i="11"/>
  <c r="AR5" i="45"/>
  <c r="DB43" i="2"/>
  <c r="AM43" i="2" s="1"/>
  <c r="DB34" i="2"/>
  <c r="AM34" i="2" s="1"/>
  <c r="DB33" i="2"/>
  <c r="AM33" i="2" s="1"/>
  <c r="AT6" i="48"/>
  <c r="S6" i="48"/>
  <c r="EI45" i="2"/>
  <c r="AO45" i="2" s="1"/>
  <c r="AP45" i="2" s="1"/>
  <c r="AR45" i="2" s="1"/>
  <c r="EJ7" i="2"/>
  <c r="ET7" i="2" s="1"/>
  <c r="AQ7" i="2" s="1"/>
  <c r="AR7" i="2" s="1"/>
  <c r="EE43" i="2"/>
  <c r="EP43" i="2" s="1"/>
  <c r="EA43" i="2"/>
  <c r="EL43" i="2" s="1"/>
  <c r="EA44" i="2"/>
  <c r="EL44" i="2" s="1"/>
  <c r="DY15" i="2"/>
  <c r="EI15" i="2" s="1"/>
  <c r="AO15" i="2" s="1"/>
  <c r="AP15" i="2" s="1"/>
  <c r="DX15" i="2"/>
  <c r="EH43" i="2"/>
  <c r="ES43" i="2" s="1"/>
  <c r="EA42" i="2"/>
  <c r="EL42" i="2" s="1"/>
  <c r="EH32" i="2"/>
  <c r="ES32" i="2" s="1"/>
  <c r="DN43" i="2"/>
  <c r="DN44" i="2"/>
  <c r="EF44" i="2"/>
  <c r="EQ44" i="2" s="1"/>
  <c r="EB44" i="2"/>
  <c r="EM44" i="2" s="1"/>
  <c r="EA33" i="2"/>
  <c r="EA34" i="2"/>
  <c r="EL34" i="2" s="1"/>
  <c r="DN32" i="2"/>
  <c r="EF32" i="2"/>
  <c r="EQ32" i="2" s="1"/>
  <c r="DN34" i="2"/>
  <c r="EJ10" i="2"/>
  <c r="ET10" i="2" s="1"/>
  <c r="AQ10" i="2" s="1"/>
  <c r="EI10" i="2"/>
  <c r="AO10" i="2" s="1"/>
  <c r="AP10" i="2" s="1"/>
  <c r="DZ42" i="2"/>
  <c r="EK42" i="2" s="1"/>
  <c r="EH42" i="2"/>
  <c r="ES42" i="2" s="1"/>
  <c r="DN33" i="2"/>
  <c r="DN42" i="2"/>
  <c r="ED34" i="2"/>
  <c r="EO34" i="2" s="1"/>
  <c r="DX14" i="2"/>
  <c r="DY14" i="2"/>
  <c r="EI14" i="2" s="1"/>
  <c r="AO14" i="2" s="1"/>
  <c r="AP14" i="2" s="1"/>
  <c r="EC34" i="2"/>
  <c r="EN34" i="2" s="1"/>
  <c r="ED42" i="2"/>
  <c r="EO42" i="2" s="1"/>
  <c r="EG42" i="2"/>
  <c r="ER42" i="2" s="1"/>
  <c r="T157" i="11"/>
  <c r="T108" i="11"/>
  <c r="T99" i="11"/>
  <c r="T124" i="11"/>
  <c r="T116" i="11"/>
  <c r="R81" i="11"/>
  <c r="H81" i="11"/>
  <c r="R73" i="11"/>
  <c r="H73" i="11"/>
  <c r="T73" i="11" s="1"/>
  <c r="R65" i="11"/>
  <c r="H65" i="11"/>
  <c r="R57" i="11"/>
  <c r="H57" i="11"/>
  <c r="R49" i="11"/>
  <c r="H49" i="11"/>
  <c r="K41" i="11"/>
  <c r="R41" i="11"/>
  <c r="J41" i="11"/>
  <c r="I41" i="11"/>
  <c r="H41" i="11"/>
  <c r="R34" i="11"/>
  <c r="J34" i="11"/>
  <c r="I34" i="11"/>
  <c r="H34" i="11"/>
  <c r="R26" i="11"/>
  <c r="I26" i="11"/>
  <c r="H26" i="11"/>
  <c r="H17" i="11"/>
  <c r="R17" i="11"/>
  <c r="L17" i="11"/>
  <c r="K17" i="11"/>
  <c r="J17" i="11"/>
  <c r="I17" i="11"/>
  <c r="R10" i="11"/>
  <c r="N10" i="11"/>
  <c r="M10" i="11"/>
  <c r="L10" i="11"/>
  <c r="K10" i="11"/>
  <c r="J10" i="11"/>
  <c r="I10" i="11"/>
  <c r="H10" i="11"/>
  <c r="DY41" i="2" l="1"/>
  <c r="EI41" i="2" s="1"/>
  <c r="AO41" i="2" s="1"/>
  <c r="AP41" i="2" s="1"/>
  <c r="DX41" i="2"/>
  <c r="S12" i="48"/>
  <c r="AT12" i="48"/>
  <c r="T81" i="11"/>
  <c r="AU6" i="48"/>
  <c r="U6" i="48" s="1"/>
  <c r="V6" i="48" s="1"/>
  <c r="AW4" i="33"/>
  <c r="EJ15" i="2"/>
  <c r="ET15" i="2" s="1"/>
  <c r="AQ15" i="2" s="1"/>
  <c r="AR15" i="2" s="1"/>
  <c r="EJ14" i="2"/>
  <c r="ET14" i="2" s="1"/>
  <c r="AQ14" i="2" s="1"/>
  <c r="AR14" i="2" s="1"/>
  <c r="DX32" i="2"/>
  <c r="DY32" i="2"/>
  <c r="EI32" i="2" s="1"/>
  <c r="AO32" i="2" s="1"/>
  <c r="AP32" i="2" s="1"/>
  <c r="DY33" i="2"/>
  <c r="EI33" i="2" s="1"/>
  <c r="AO33" i="2" s="1"/>
  <c r="AP33" i="2" s="1"/>
  <c r="AR10" i="2"/>
  <c r="DX33" i="2"/>
  <c r="DY43" i="2"/>
  <c r="EI43" i="2" s="1"/>
  <c r="AO43" i="2" s="1"/>
  <c r="AP43" i="2" s="1"/>
  <c r="DX43" i="2"/>
  <c r="DY42" i="2"/>
  <c r="EI42" i="2" s="1"/>
  <c r="AO42" i="2" s="1"/>
  <c r="AP42" i="2" s="1"/>
  <c r="DX42" i="2"/>
  <c r="DX34" i="2"/>
  <c r="DY34" i="2"/>
  <c r="EI34" i="2" s="1"/>
  <c r="AO34" i="2" s="1"/>
  <c r="AP34" i="2" s="1"/>
  <c r="EL33" i="2"/>
  <c r="DY44" i="2"/>
  <c r="EI44" i="2" s="1"/>
  <c r="AO44" i="2" s="1"/>
  <c r="AP44" i="2" s="1"/>
  <c r="DX44" i="2"/>
  <c r="T26" i="11"/>
  <c r="T41" i="11"/>
  <c r="T65" i="11"/>
  <c r="T17" i="11"/>
  <c r="T34" i="11"/>
  <c r="T57" i="11"/>
  <c r="T10" i="11"/>
  <c r="T49" i="11"/>
  <c r="AV6" i="48" l="1"/>
  <c r="W6" i="48" s="1"/>
  <c r="X6" i="48" s="1"/>
  <c r="EJ41" i="2"/>
  <c r="ET41" i="2" s="1"/>
  <c r="AQ41" i="2" s="1"/>
  <c r="AR41" i="2" s="1"/>
  <c r="AV4" i="33"/>
  <c r="AU12" i="48"/>
  <c r="U12" i="48" s="1"/>
  <c r="V12" i="48" s="1"/>
  <c r="EJ42" i="2"/>
  <c r="ET42" i="2" s="1"/>
  <c r="AQ42" i="2" s="1"/>
  <c r="AR42" i="2" s="1"/>
  <c r="EJ33" i="2"/>
  <c r="ET33" i="2" s="1"/>
  <c r="AQ33" i="2" s="1"/>
  <c r="AR33" i="2" s="1"/>
  <c r="EJ43" i="2"/>
  <c r="ET43" i="2" s="1"/>
  <c r="AQ43" i="2" s="1"/>
  <c r="AR43" i="2" s="1"/>
  <c r="EJ44" i="2"/>
  <c r="ET44" i="2" s="1"/>
  <c r="AQ44" i="2" s="1"/>
  <c r="AR44" i="2" s="1"/>
  <c r="EJ34" i="2"/>
  <c r="ET34" i="2" s="1"/>
  <c r="AQ34" i="2" s="1"/>
  <c r="AR34" i="2" s="1"/>
  <c r="EJ32" i="2"/>
  <c r="ET32" i="2" s="1"/>
  <c r="AQ32" i="2" s="1"/>
  <c r="AR32" i="2" s="1"/>
  <c r="E15" i="27"/>
  <c r="D15" i="27"/>
  <c r="C15" i="27"/>
  <c r="AV12" i="48" l="1"/>
  <c r="W12" i="48" s="1"/>
  <c r="X12" i="48" s="1"/>
  <c r="CR11" i="2"/>
  <c r="CT6" i="2"/>
  <c r="DP6" i="2" s="1"/>
  <c r="EA6" i="2" s="1"/>
  <c r="EL6" i="2" s="1"/>
  <c r="CR13" i="2"/>
  <c r="CT11" i="2"/>
  <c r="DP11" i="2" s="1"/>
  <c r="EA11" i="2" s="1"/>
  <c r="EL11" i="2" s="1"/>
  <c r="DO13" i="2"/>
  <c r="DZ13" i="2" s="1"/>
  <c r="EK13" i="2" s="1"/>
  <c r="CR12" i="2"/>
  <c r="CX13" i="2"/>
  <c r="DT13" i="2" s="1"/>
  <c r="EE13" i="2" s="1"/>
  <c r="EP13" i="2" s="1"/>
  <c r="CT12" i="2"/>
  <c r="DP12" i="2" s="1"/>
  <c r="EA12" i="2" s="1"/>
  <c r="EL12" i="2" s="1"/>
  <c r="CR6" i="2"/>
  <c r="CS6" i="2"/>
  <c r="DO6" i="2" s="1"/>
  <c r="DZ6" i="2" s="1"/>
  <c r="EK6" i="2" s="1"/>
  <c r="CT13" i="2"/>
  <c r="DP13" i="2" s="1"/>
  <c r="EA13" i="2" s="1"/>
  <c r="EL13" i="2" s="1"/>
  <c r="CS11" i="2"/>
  <c r="DO11" i="2" s="1"/>
  <c r="DZ11" i="2" s="1"/>
  <c r="EK11" i="2" s="1"/>
  <c r="CY12" i="2"/>
  <c r="DU12" i="2" s="1"/>
  <c r="EF12" i="2" s="1"/>
  <c r="EQ12" i="2" s="1"/>
  <c r="DO12" i="2"/>
  <c r="DZ12" i="2" s="1"/>
  <c r="EK12" i="2" s="1"/>
  <c r="CU12" i="2"/>
  <c r="DQ12" i="2" s="1"/>
  <c r="EB12" i="2" s="1"/>
  <c r="EM12" i="2" s="1"/>
  <c r="CV13" i="2"/>
  <c r="DR13" i="2" s="1"/>
  <c r="EC13" i="2" s="1"/>
  <c r="EN13" i="2" s="1"/>
  <c r="CV6" i="2"/>
  <c r="DR6" i="2" s="1"/>
  <c r="EC6" i="2" s="1"/>
  <c r="EN6" i="2" s="1"/>
  <c r="DA11" i="2"/>
  <c r="DW11" i="2" s="1"/>
  <c r="EH11" i="2" s="1"/>
  <c r="ES11" i="2" s="1"/>
  <c r="CX12" i="2"/>
  <c r="DT12" i="2" s="1"/>
  <c r="EE12" i="2" s="1"/>
  <c r="EP12" i="2" s="1"/>
  <c r="CY11" i="2"/>
  <c r="DU11" i="2" s="1"/>
  <c r="EF11" i="2" s="1"/>
  <c r="EQ11" i="2" s="1"/>
  <c r="CV11" i="2"/>
  <c r="DR11" i="2" s="1"/>
  <c r="EC11" i="2" s="1"/>
  <c r="EN11" i="2" s="1"/>
  <c r="CZ12" i="2"/>
  <c r="DV12" i="2" s="1"/>
  <c r="EG12" i="2" s="1"/>
  <c r="ER12" i="2" s="1"/>
  <c r="CW6" i="2"/>
  <c r="DS6" i="2" s="1"/>
  <c r="ED6" i="2" s="1"/>
  <c r="EO6" i="2" s="1"/>
  <c r="CW12" i="2"/>
  <c r="DS12" i="2" s="1"/>
  <c r="ED12" i="2" s="1"/>
  <c r="EO12" i="2" s="1"/>
  <c r="CW13" i="2"/>
  <c r="DS13" i="2" s="1"/>
  <c r="ED13" i="2" s="1"/>
  <c r="EO13" i="2" s="1"/>
  <c r="DA13" i="2"/>
  <c r="DW13" i="2" s="1"/>
  <c r="EH13" i="2" s="1"/>
  <c r="ES13" i="2" s="1"/>
  <c r="CU13" i="2"/>
  <c r="DQ13" i="2" s="1"/>
  <c r="EB13" i="2" s="1"/>
  <c r="EM13" i="2" s="1"/>
  <c r="DA12" i="2"/>
  <c r="DW12" i="2" s="1"/>
  <c r="EH12" i="2" s="1"/>
  <c r="ES12" i="2" s="1"/>
  <c r="CX6" i="2"/>
  <c r="DT6" i="2" s="1"/>
  <c r="EE6" i="2" s="1"/>
  <c r="EP6" i="2" s="1"/>
  <c r="CX11" i="2"/>
  <c r="DT11" i="2" s="1"/>
  <c r="EE11" i="2" s="1"/>
  <c r="EP11" i="2" s="1"/>
  <c r="CU6" i="2"/>
  <c r="DQ6" i="2" s="1"/>
  <c r="EB6" i="2" s="1"/>
  <c r="EM6" i="2" s="1"/>
  <c r="CW11" i="2"/>
  <c r="DS11" i="2" s="1"/>
  <c r="ED11" i="2" s="1"/>
  <c r="EO11" i="2" s="1"/>
  <c r="DA6" i="2"/>
  <c r="DW6" i="2" s="1"/>
  <c r="EH6" i="2" s="1"/>
  <c r="ES6" i="2" s="1"/>
  <c r="CV12" i="2"/>
  <c r="DR12" i="2" s="1"/>
  <c r="EC12" i="2" s="1"/>
  <c r="EN12" i="2" s="1"/>
  <c r="CZ13" i="2"/>
  <c r="DV13" i="2" s="1"/>
  <c r="EG13" i="2" s="1"/>
  <c r="ER13" i="2" s="1"/>
  <c r="CZ6" i="2"/>
  <c r="DV6" i="2" s="1"/>
  <c r="EG6" i="2" s="1"/>
  <c r="ER6" i="2" s="1"/>
  <c r="CU11" i="2"/>
  <c r="DQ11" i="2" s="1"/>
  <c r="EB11" i="2" s="1"/>
  <c r="EM11" i="2" s="1"/>
  <c r="CZ11" i="2"/>
  <c r="DV11" i="2" s="1"/>
  <c r="EG11" i="2" s="1"/>
  <c r="ER11" i="2" s="1"/>
  <c r="CY13" i="2"/>
  <c r="DU13" i="2" s="1"/>
  <c r="EF13" i="2" s="1"/>
  <c r="EQ13" i="2" s="1"/>
  <c r="CY6" i="2"/>
  <c r="DU6" i="2" s="1"/>
  <c r="EF6" i="2" s="1"/>
  <c r="EQ6" i="2" s="1"/>
  <c r="AU4" i="33"/>
  <c r="AQ5" i="49" l="1"/>
  <c r="CT25" i="2"/>
  <c r="DP25" i="2" s="1"/>
  <c r="EA25" i="2" s="1"/>
  <c r="EL25" i="2" s="1"/>
  <c r="DO25" i="2"/>
  <c r="DZ25" i="2" s="1"/>
  <c r="EK25" i="2" s="1"/>
  <c r="CR25" i="2"/>
  <c r="CZ25" i="2"/>
  <c r="DV25" i="2" s="1"/>
  <c r="EG25" i="2" s="1"/>
  <c r="ER25" i="2" s="1"/>
  <c r="CV25" i="2"/>
  <c r="DR25" i="2" s="1"/>
  <c r="EC25" i="2" s="1"/>
  <c r="EN25" i="2" s="1"/>
  <c r="CX25" i="2"/>
  <c r="DT25" i="2" s="1"/>
  <c r="EE25" i="2" s="1"/>
  <c r="EP25" i="2" s="1"/>
  <c r="CW25" i="2"/>
  <c r="DS25" i="2" s="1"/>
  <c r="ED25" i="2" s="1"/>
  <c r="EO25" i="2" s="1"/>
  <c r="DA25" i="2"/>
  <c r="DW25" i="2" s="1"/>
  <c r="EH25" i="2" s="1"/>
  <c r="ES25" i="2" s="1"/>
  <c r="CU25" i="2"/>
  <c r="DQ25" i="2" s="1"/>
  <c r="EB25" i="2" s="1"/>
  <c r="EM25" i="2" s="1"/>
  <c r="CY25" i="2"/>
  <c r="DU25" i="2" s="1"/>
  <c r="EF25" i="2" s="1"/>
  <c r="EQ25" i="2" s="1"/>
  <c r="AT4" i="33"/>
  <c r="DB6" i="2"/>
  <c r="AM6" i="2" s="1"/>
  <c r="DN6" i="2"/>
  <c r="DB11" i="2"/>
  <c r="AM11" i="2" s="1"/>
  <c r="DN11" i="2"/>
  <c r="DB13" i="2"/>
  <c r="AM13" i="2" s="1"/>
  <c r="DN13" i="2"/>
  <c r="DB12" i="2"/>
  <c r="AM12" i="2" s="1"/>
  <c r="DN12" i="2"/>
  <c r="DY12" i="2" l="1"/>
  <c r="EI12" i="2" s="1"/>
  <c r="AO12" i="2" s="1"/>
  <c r="AP12" i="2" s="1"/>
  <c r="DX12" i="2"/>
  <c r="S5" i="49"/>
  <c r="AT5" i="49"/>
  <c r="DB25" i="2"/>
  <c r="AM25" i="2" s="1"/>
  <c r="DN25" i="2"/>
  <c r="DX13" i="2"/>
  <c r="DY13" i="2"/>
  <c r="EI13" i="2" s="1"/>
  <c r="AO13" i="2" s="1"/>
  <c r="AP13" i="2" s="1"/>
  <c r="DX11" i="2"/>
  <c r="DY11" i="2"/>
  <c r="EI11" i="2" s="1"/>
  <c r="AO11" i="2" s="1"/>
  <c r="AP11" i="2" s="1"/>
  <c r="AS4" i="33"/>
  <c r="DY6" i="2"/>
  <c r="EI6" i="2" s="1"/>
  <c r="AO6" i="2" s="1"/>
  <c r="DX6" i="2"/>
  <c r="AP6" i="2" l="1"/>
  <c r="EJ12" i="2"/>
  <c r="ET12" i="2" s="1"/>
  <c r="AQ12" i="2" s="1"/>
  <c r="AR12" i="2" s="1"/>
  <c r="EJ6" i="2"/>
  <c r="ET6" i="2" s="1"/>
  <c r="AQ6" i="2" s="1"/>
  <c r="AR6" i="2" s="1"/>
  <c r="AR4" i="33"/>
  <c r="AU5" i="49"/>
  <c r="U5" i="49" s="1"/>
  <c r="V5" i="49" s="1"/>
  <c r="EJ11" i="2"/>
  <c r="ET11" i="2" s="1"/>
  <c r="AQ11" i="2" s="1"/>
  <c r="AR11" i="2" s="1"/>
  <c r="DY25" i="2"/>
  <c r="EI25" i="2" s="1"/>
  <c r="AO25" i="2" s="1"/>
  <c r="AP25" i="2" s="1"/>
  <c r="DX25" i="2"/>
  <c r="EJ13" i="2"/>
  <c r="ET13" i="2" s="1"/>
  <c r="AQ13" i="2" s="1"/>
  <c r="AR13" i="2" s="1"/>
  <c r="EJ25" i="2" l="1"/>
  <c r="ET25" i="2" s="1"/>
  <c r="AQ25" i="2" s="1"/>
  <c r="AR25" i="2" s="1"/>
  <c r="AV5" i="49"/>
  <c r="W5" i="49" s="1"/>
  <c r="X5" i="49" s="1"/>
  <c r="CT16" i="2"/>
  <c r="DP16" i="2" s="1"/>
  <c r="EA16" i="2" s="1"/>
  <c r="EL16" i="2" s="1"/>
  <c r="CR16" i="2"/>
  <c r="DO16" i="2"/>
  <c r="DZ16" i="2" s="1"/>
  <c r="EK16" i="2" s="1"/>
  <c r="CV16" i="2"/>
  <c r="DR16" i="2" s="1"/>
  <c r="EC16" i="2" s="1"/>
  <c r="EN16" i="2" s="1"/>
  <c r="CW16" i="2"/>
  <c r="DS16" i="2" s="1"/>
  <c r="ED16" i="2" s="1"/>
  <c r="EO16" i="2" s="1"/>
  <c r="DA16" i="2"/>
  <c r="DW16" i="2" s="1"/>
  <c r="EH16" i="2" s="1"/>
  <c r="ES16" i="2" s="1"/>
  <c r="CX16" i="2"/>
  <c r="DT16" i="2" s="1"/>
  <c r="EE16" i="2" s="1"/>
  <c r="EP16" i="2" s="1"/>
  <c r="CZ16" i="2"/>
  <c r="DV16" i="2" s="1"/>
  <c r="EG16" i="2" s="1"/>
  <c r="ER16" i="2" s="1"/>
  <c r="CY16" i="2"/>
  <c r="DU16" i="2" s="1"/>
  <c r="EF16" i="2" s="1"/>
  <c r="EQ16" i="2" s="1"/>
  <c r="CU16" i="2"/>
  <c r="DQ16" i="2" s="1"/>
  <c r="EB16" i="2" s="1"/>
  <c r="EM16" i="2" s="1"/>
  <c r="AQ4" i="33"/>
  <c r="AP4" i="33" s="1"/>
  <c r="CR8" i="2" l="1"/>
  <c r="CW9" i="2"/>
  <c r="DS9" i="2" s="1"/>
  <c r="ED9" i="2" s="1"/>
  <c r="EO9" i="2" s="1"/>
  <c r="CT9" i="2"/>
  <c r="DP9" i="2" s="1"/>
  <c r="EA9" i="2" s="1"/>
  <c r="EL9" i="2" s="1"/>
  <c r="CV8" i="2"/>
  <c r="DR8" i="2" s="1"/>
  <c r="EC8" i="2" s="1"/>
  <c r="EN8" i="2" s="1"/>
  <c r="CT8" i="2"/>
  <c r="DP8" i="2" s="1"/>
  <c r="EA8" i="2" s="1"/>
  <c r="EL8" i="2" s="1"/>
  <c r="CR9" i="2"/>
  <c r="CS9" i="2"/>
  <c r="DO9" i="2" s="1"/>
  <c r="DZ9" i="2" s="1"/>
  <c r="EK9" i="2" s="1"/>
  <c r="CS8" i="2"/>
  <c r="DO8" i="2" s="1"/>
  <c r="DZ8" i="2" s="1"/>
  <c r="EK8" i="2" s="1"/>
  <c r="DA8" i="2"/>
  <c r="DW8" i="2" s="1"/>
  <c r="EH8" i="2" s="1"/>
  <c r="ES8" i="2" s="1"/>
  <c r="CY8" i="2"/>
  <c r="DU8" i="2" s="1"/>
  <c r="EF8" i="2" s="1"/>
  <c r="EQ8" i="2" s="1"/>
  <c r="CV9" i="2"/>
  <c r="DR9" i="2" s="1"/>
  <c r="EC9" i="2" s="1"/>
  <c r="EN9" i="2" s="1"/>
  <c r="CW8" i="2"/>
  <c r="DS8" i="2" s="1"/>
  <c r="ED8" i="2" s="1"/>
  <c r="EO8" i="2" s="1"/>
  <c r="CZ8" i="2"/>
  <c r="DV8" i="2" s="1"/>
  <c r="EG8" i="2" s="1"/>
  <c r="ER8" i="2" s="1"/>
  <c r="CX8" i="2"/>
  <c r="DT8" i="2" s="1"/>
  <c r="EE8" i="2" s="1"/>
  <c r="EP8" i="2" s="1"/>
  <c r="CU8" i="2"/>
  <c r="DQ8" i="2" s="1"/>
  <c r="EB8" i="2" s="1"/>
  <c r="EM8" i="2" s="1"/>
  <c r="CZ9" i="2"/>
  <c r="DV9" i="2" s="1"/>
  <c r="EG9" i="2" s="1"/>
  <c r="ER9" i="2" s="1"/>
  <c r="CU9" i="2"/>
  <c r="DQ9" i="2" s="1"/>
  <c r="EB9" i="2" s="1"/>
  <c r="EM9" i="2" s="1"/>
  <c r="CX9" i="2"/>
  <c r="DT9" i="2" s="1"/>
  <c r="EE9" i="2" s="1"/>
  <c r="EP9" i="2" s="1"/>
  <c r="DA9" i="2"/>
  <c r="DW9" i="2" s="1"/>
  <c r="EH9" i="2" s="1"/>
  <c r="ES9" i="2" s="1"/>
  <c r="CY9" i="2"/>
  <c r="DU9" i="2" s="1"/>
  <c r="EF9" i="2" s="1"/>
  <c r="EQ9" i="2" s="1"/>
  <c r="AO4" i="33"/>
  <c r="AN4" i="33" s="1"/>
  <c r="AM4" i="33" s="1"/>
  <c r="AL4" i="33" s="1"/>
  <c r="AK4" i="33" s="1"/>
  <c r="DB16" i="2"/>
  <c r="AM16" i="2" s="1"/>
  <c r="DN16" i="2"/>
  <c r="DA6" i="43" l="1"/>
  <c r="DW6" i="43" s="1"/>
  <c r="EH6" i="43" s="1"/>
  <c r="ES6" i="43" s="1"/>
  <c r="CT6" i="42"/>
  <c r="DP6" i="42" s="1"/>
  <c r="EA6" i="42" s="1"/>
  <c r="EL6" i="42" s="1"/>
  <c r="CS6" i="42"/>
  <c r="DB6" i="42"/>
  <c r="DX6" i="42" s="1"/>
  <c r="EI6" i="42" s="1"/>
  <c r="ET6" i="42" s="1"/>
  <c r="DA6" i="42"/>
  <c r="DW6" i="42" s="1"/>
  <c r="EH6" i="42" s="1"/>
  <c r="ES6" i="42" s="1"/>
  <c r="CX6" i="43"/>
  <c r="DT6" i="43" s="1"/>
  <c r="EE6" i="43" s="1"/>
  <c r="EP6" i="43" s="1"/>
  <c r="CZ6" i="43"/>
  <c r="DV6" i="43" s="1"/>
  <c r="EG6" i="43" s="1"/>
  <c r="ER6" i="43" s="1"/>
  <c r="CX6" i="42"/>
  <c r="DT6" i="42" s="1"/>
  <c r="EE6" i="42" s="1"/>
  <c r="EP6" i="42" s="1"/>
  <c r="CV6" i="43"/>
  <c r="DR6" i="43" s="1"/>
  <c r="EC6" i="43" s="1"/>
  <c r="EN6" i="43" s="1"/>
  <c r="CY6" i="43"/>
  <c r="DU6" i="43" s="1"/>
  <c r="EF6" i="43" s="1"/>
  <c r="EQ6" i="43" s="1"/>
  <c r="CS6" i="43"/>
  <c r="DO6" i="43" s="1"/>
  <c r="CW6" i="43"/>
  <c r="DS6" i="43" s="1"/>
  <c r="ED6" i="43" s="1"/>
  <c r="EO6" i="43" s="1"/>
  <c r="CV6" i="42"/>
  <c r="DR6" i="42" s="1"/>
  <c r="EC6" i="42" s="1"/>
  <c r="EN6" i="42" s="1"/>
  <c r="CY6" i="42"/>
  <c r="DU6" i="42" s="1"/>
  <c r="EF6" i="42" s="1"/>
  <c r="EQ6" i="42" s="1"/>
  <c r="CU6" i="42"/>
  <c r="DQ6" i="42" s="1"/>
  <c r="EB6" i="42" s="1"/>
  <c r="EM6" i="42" s="1"/>
  <c r="CZ6" i="42"/>
  <c r="DV6" i="42" s="1"/>
  <c r="EG6" i="42" s="1"/>
  <c r="ER6" i="42" s="1"/>
  <c r="DB6" i="43"/>
  <c r="DX6" i="43" s="1"/>
  <c r="EI6" i="43" s="1"/>
  <c r="ET6" i="43" s="1"/>
  <c r="CT6" i="43"/>
  <c r="DP6" i="43" s="1"/>
  <c r="EA6" i="43" s="1"/>
  <c r="EL6" i="43" s="1"/>
  <c r="CW6" i="42"/>
  <c r="DS6" i="42" s="1"/>
  <c r="ED6" i="42" s="1"/>
  <c r="EO6" i="42" s="1"/>
  <c r="CU6" i="43"/>
  <c r="DQ6" i="43" s="1"/>
  <c r="EB6" i="43" s="1"/>
  <c r="EM6" i="43" s="1"/>
  <c r="DC6" i="43"/>
  <c r="AM6" i="43" s="1"/>
  <c r="CY19" i="2"/>
  <c r="DU19" i="2" s="1"/>
  <c r="EF19" i="2" s="1"/>
  <c r="EQ19" i="2" s="1"/>
  <c r="CT20" i="2"/>
  <c r="DP20" i="2" s="1"/>
  <c r="EA20" i="2" s="1"/>
  <c r="EL20" i="2" s="1"/>
  <c r="DO22" i="2"/>
  <c r="DZ22" i="2" s="1"/>
  <c r="EK22" i="2" s="1"/>
  <c r="CT22" i="2"/>
  <c r="DP22" i="2" s="1"/>
  <c r="EA22" i="2" s="1"/>
  <c r="EL22" i="2" s="1"/>
  <c r="CT21" i="2"/>
  <c r="DP21" i="2" s="1"/>
  <c r="EA21" i="2" s="1"/>
  <c r="EL21" i="2" s="1"/>
  <c r="CX23" i="2"/>
  <c r="DT23" i="2" s="1"/>
  <c r="EE23" i="2" s="1"/>
  <c r="EP23" i="2" s="1"/>
  <c r="CR28" i="2"/>
  <c r="DO18" i="2"/>
  <c r="DZ18" i="2" s="1"/>
  <c r="EK18" i="2" s="1"/>
  <c r="CR20" i="2"/>
  <c r="CR22" i="2"/>
  <c r="CT23" i="2"/>
  <c r="DP23" i="2" s="1"/>
  <c r="EA23" i="2" s="1"/>
  <c r="EL23" i="2" s="1"/>
  <c r="CY21" i="2"/>
  <c r="DU21" i="2" s="1"/>
  <c r="EF21" i="2" s="1"/>
  <c r="EQ21" i="2" s="1"/>
  <c r="CR19" i="2"/>
  <c r="CT18" i="2"/>
  <c r="DP18" i="2" s="1"/>
  <c r="EA18" i="2" s="1"/>
  <c r="EL18" i="2" s="1"/>
  <c r="CR23" i="2"/>
  <c r="DO19" i="2"/>
  <c r="DZ19" i="2" s="1"/>
  <c r="EK19" i="2" s="1"/>
  <c r="CR21" i="2"/>
  <c r="DO20" i="2"/>
  <c r="DZ20" i="2" s="1"/>
  <c r="EK20" i="2" s="1"/>
  <c r="DO21" i="2"/>
  <c r="DZ21" i="2" s="1"/>
  <c r="EK21" i="2" s="1"/>
  <c r="DO23" i="2"/>
  <c r="DZ23" i="2" s="1"/>
  <c r="EK23" i="2" s="1"/>
  <c r="CR18" i="2"/>
  <c r="CT28" i="2"/>
  <c r="DP28" i="2" s="1"/>
  <c r="EA28" i="2" s="1"/>
  <c r="EL28" i="2" s="1"/>
  <c r="CT19" i="2"/>
  <c r="DP19" i="2" s="1"/>
  <c r="EA19" i="2" s="1"/>
  <c r="EL19" i="2" s="1"/>
  <c r="DO28" i="2"/>
  <c r="DZ28" i="2" s="1"/>
  <c r="EK28" i="2" s="1"/>
  <c r="DA20" i="2"/>
  <c r="DW20" i="2" s="1"/>
  <c r="EH20" i="2" s="1"/>
  <c r="ES20" i="2" s="1"/>
  <c r="CV18" i="2"/>
  <c r="DR18" i="2" s="1"/>
  <c r="EC18" i="2" s="1"/>
  <c r="EN18" i="2" s="1"/>
  <c r="CZ21" i="2"/>
  <c r="DV21" i="2" s="1"/>
  <c r="EG21" i="2" s="1"/>
  <c r="ER21" i="2" s="1"/>
  <c r="CU20" i="2"/>
  <c r="DQ20" i="2" s="1"/>
  <c r="EB20" i="2" s="1"/>
  <c r="EM20" i="2" s="1"/>
  <c r="CX18" i="2"/>
  <c r="DT18" i="2" s="1"/>
  <c r="EE18" i="2" s="1"/>
  <c r="EP18" i="2" s="1"/>
  <c r="DA18" i="2"/>
  <c r="DW18" i="2" s="1"/>
  <c r="EH18" i="2" s="1"/>
  <c r="ES18" i="2" s="1"/>
  <c r="DA21" i="2"/>
  <c r="DW21" i="2" s="1"/>
  <c r="EH21" i="2" s="1"/>
  <c r="ES21" i="2" s="1"/>
  <c r="CX28" i="2"/>
  <c r="DT28" i="2" s="1"/>
  <c r="EE28" i="2" s="1"/>
  <c r="EP28" i="2" s="1"/>
  <c r="CV21" i="2"/>
  <c r="DR21" i="2" s="1"/>
  <c r="EC21" i="2" s="1"/>
  <c r="EN21" i="2" s="1"/>
  <c r="CV28" i="2"/>
  <c r="DR28" i="2" s="1"/>
  <c r="EC28" i="2" s="1"/>
  <c r="EN28" i="2" s="1"/>
  <c r="CW28" i="2"/>
  <c r="DS28" i="2" s="1"/>
  <c r="ED28" i="2" s="1"/>
  <c r="EO28" i="2" s="1"/>
  <c r="CY23" i="2"/>
  <c r="DU23" i="2" s="1"/>
  <c r="EF23" i="2" s="1"/>
  <c r="EQ23" i="2" s="1"/>
  <c r="CZ22" i="2"/>
  <c r="DV22" i="2" s="1"/>
  <c r="EG22" i="2" s="1"/>
  <c r="ER22" i="2" s="1"/>
  <c r="CX19" i="2"/>
  <c r="DT19" i="2" s="1"/>
  <c r="EE19" i="2" s="1"/>
  <c r="EP19" i="2" s="1"/>
  <c r="CW20" i="2"/>
  <c r="DS20" i="2" s="1"/>
  <c r="ED20" i="2" s="1"/>
  <c r="EO20" i="2" s="1"/>
  <c r="CU23" i="2"/>
  <c r="DQ23" i="2" s="1"/>
  <c r="EB23" i="2" s="1"/>
  <c r="EM23" i="2" s="1"/>
  <c r="DA22" i="2"/>
  <c r="DW22" i="2" s="1"/>
  <c r="EH22" i="2" s="1"/>
  <c r="ES22" i="2" s="1"/>
  <c r="CZ20" i="2"/>
  <c r="DV20" i="2" s="1"/>
  <c r="EG20" i="2" s="1"/>
  <c r="ER20" i="2" s="1"/>
  <c r="CY18" i="2"/>
  <c r="DU18" i="2" s="1"/>
  <c r="EF18" i="2" s="1"/>
  <c r="EQ18" i="2" s="1"/>
  <c r="CV23" i="2"/>
  <c r="DR23" i="2" s="1"/>
  <c r="EC23" i="2" s="1"/>
  <c r="EN23" i="2" s="1"/>
  <c r="CV20" i="2"/>
  <c r="DR20" i="2" s="1"/>
  <c r="EC20" i="2" s="1"/>
  <c r="EN20" i="2" s="1"/>
  <c r="DA19" i="2"/>
  <c r="DW19" i="2" s="1"/>
  <c r="EH19" i="2" s="1"/>
  <c r="ES19" i="2" s="1"/>
  <c r="DA23" i="2"/>
  <c r="DW23" i="2" s="1"/>
  <c r="EH23" i="2" s="1"/>
  <c r="ES23" i="2" s="1"/>
  <c r="CZ28" i="2"/>
  <c r="DV28" i="2" s="1"/>
  <c r="EG28" i="2" s="1"/>
  <c r="ER28" i="2" s="1"/>
  <c r="CW21" i="2"/>
  <c r="DS21" i="2" s="1"/>
  <c r="ED21" i="2" s="1"/>
  <c r="EO21" i="2" s="1"/>
  <c r="CV22" i="2"/>
  <c r="DR22" i="2" s="1"/>
  <c r="EC22" i="2" s="1"/>
  <c r="EN22" i="2" s="1"/>
  <c r="DA28" i="2"/>
  <c r="DW28" i="2" s="1"/>
  <c r="EH28" i="2" s="1"/>
  <c r="ES28" i="2" s="1"/>
  <c r="CU28" i="2"/>
  <c r="DQ28" i="2" s="1"/>
  <c r="EB28" i="2" s="1"/>
  <c r="EM28" i="2" s="1"/>
  <c r="CY22" i="2"/>
  <c r="DU22" i="2" s="1"/>
  <c r="EF22" i="2" s="1"/>
  <c r="EQ22" i="2" s="1"/>
  <c r="CW23" i="2"/>
  <c r="DS23" i="2" s="1"/>
  <c r="ED23" i="2" s="1"/>
  <c r="EO23" i="2" s="1"/>
  <c r="CX20" i="2"/>
  <c r="DT20" i="2" s="1"/>
  <c r="EE20" i="2" s="1"/>
  <c r="EP20" i="2" s="1"/>
  <c r="CZ23" i="2"/>
  <c r="DV23" i="2" s="1"/>
  <c r="EG23" i="2" s="1"/>
  <c r="ER23" i="2" s="1"/>
  <c r="CW18" i="2"/>
  <c r="DS18" i="2" s="1"/>
  <c r="ED18" i="2" s="1"/>
  <c r="EO18" i="2" s="1"/>
  <c r="CW22" i="2"/>
  <c r="DS22" i="2" s="1"/>
  <c r="ED22" i="2" s="1"/>
  <c r="EO22" i="2" s="1"/>
  <c r="CU22" i="2"/>
  <c r="DQ22" i="2" s="1"/>
  <c r="EB22" i="2" s="1"/>
  <c r="EM22" i="2" s="1"/>
  <c r="CU21" i="2"/>
  <c r="DQ21" i="2" s="1"/>
  <c r="EB21" i="2" s="1"/>
  <c r="EM21" i="2" s="1"/>
  <c r="CX22" i="2"/>
  <c r="DT22" i="2" s="1"/>
  <c r="EE22" i="2" s="1"/>
  <c r="EP22" i="2" s="1"/>
  <c r="CU19" i="2"/>
  <c r="DQ19" i="2" s="1"/>
  <c r="EB19" i="2" s="1"/>
  <c r="EM19" i="2" s="1"/>
  <c r="CW19" i="2"/>
  <c r="DS19" i="2" s="1"/>
  <c r="ED19" i="2" s="1"/>
  <c r="EO19" i="2" s="1"/>
  <c r="CX21" i="2"/>
  <c r="DT21" i="2" s="1"/>
  <c r="EE21" i="2" s="1"/>
  <c r="EP21" i="2" s="1"/>
  <c r="CY20" i="2"/>
  <c r="DU20" i="2" s="1"/>
  <c r="EF20" i="2" s="1"/>
  <c r="EQ20" i="2" s="1"/>
  <c r="CY28" i="2"/>
  <c r="DU28" i="2" s="1"/>
  <c r="EF28" i="2" s="1"/>
  <c r="EQ28" i="2" s="1"/>
  <c r="CV19" i="2"/>
  <c r="DR19" i="2" s="1"/>
  <c r="EC19" i="2" s="1"/>
  <c r="EN19" i="2" s="1"/>
  <c r="CZ18" i="2"/>
  <c r="DV18" i="2" s="1"/>
  <c r="EG18" i="2" s="1"/>
  <c r="ER18" i="2" s="1"/>
  <c r="CU18" i="2"/>
  <c r="DQ18" i="2" s="1"/>
  <c r="EB18" i="2" s="1"/>
  <c r="EM18" i="2" s="1"/>
  <c r="CZ19" i="2"/>
  <c r="DV19" i="2" s="1"/>
  <c r="EG19" i="2" s="1"/>
  <c r="ER19" i="2" s="1"/>
  <c r="AJ4" i="33"/>
  <c r="AI4" i="33" s="1"/>
  <c r="AH4" i="33" s="1"/>
  <c r="DB8" i="2"/>
  <c r="AM8" i="2" s="1"/>
  <c r="DN8" i="2"/>
  <c r="DY16" i="2"/>
  <c r="EI16" i="2" s="1"/>
  <c r="AO16" i="2" s="1"/>
  <c r="AP16" i="2" s="1"/>
  <c r="DX16" i="2"/>
  <c r="DB9" i="2"/>
  <c r="AM9" i="2" s="1"/>
  <c r="DN9" i="2"/>
  <c r="DX9" i="2" l="1"/>
  <c r="DY9" i="2"/>
  <c r="EI9" i="2" s="1"/>
  <c r="AO9" i="2" s="1"/>
  <c r="AP9" i="2" s="1"/>
  <c r="AQ8" i="49"/>
  <c r="AQ10" i="48"/>
  <c r="AQ11" i="48"/>
  <c r="CQ5" i="46"/>
  <c r="CQ7" i="46"/>
  <c r="CQ6" i="46"/>
  <c r="CQ10" i="46"/>
  <c r="CQ8" i="46"/>
  <c r="CQ9" i="46"/>
  <c r="CY5" i="39"/>
  <c r="DU5" i="39" s="1"/>
  <c r="EF5" i="39" s="1"/>
  <c r="EQ5" i="39" s="1"/>
  <c r="DA5" i="39"/>
  <c r="DW5" i="39" s="1"/>
  <c r="EH5" i="39" s="1"/>
  <c r="ES5" i="39" s="1"/>
  <c r="CU5" i="39"/>
  <c r="DQ5" i="39" s="1"/>
  <c r="EB5" i="39" s="1"/>
  <c r="EM5" i="39" s="1"/>
  <c r="CX5" i="39"/>
  <c r="DT5" i="39" s="1"/>
  <c r="EE5" i="39" s="1"/>
  <c r="EP5" i="39" s="1"/>
  <c r="CV5" i="39"/>
  <c r="DR5" i="39" s="1"/>
  <c r="EC5" i="39" s="1"/>
  <c r="EN5" i="39" s="1"/>
  <c r="CS5" i="39"/>
  <c r="DB5" i="39"/>
  <c r="DX5" i="39" s="1"/>
  <c r="EI5" i="39" s="1"/>
  <c r="ET5" i="39" s="1"/>
  <c r="CZ5" i="39"/>
  <c r="DV5" i="39" s="1"/>
  <c r="EG5" i="39" s="1"/>
  <c r="ER5" i="39" s="1"/>
  <c r="CT5" i="39"/>
  <c r="DP5" i="39" s="1"/>
  <c r="EA5" i="39" s="1"/>
  <c r="EL5" i="39" s="1"/>
  <c r="CW5" i="39"/>
  <c r="DS5" i="39" s="1"/>
  <c r="ED5" i="39" s="1"/>
  <c r="EO5" i="39" s="1"/>
  <c r="BS27" i="32"/>
  <c r="CE27" i="32" s="1"/>
  <c r="CK27" i="32" s="1"/>
  <c r="CQ27" i="32" s="1"/>
  <c r="BP29" i="32"/>
  <c r="CB29" i="32" s="1"/>
  <c r="BO29" i="32"/>
  <c r="BR29" i="32"/>
  <c r="CJ29" i="32" s="1"/>
  <c r="CP29" i="32" s="1"/>
  <c r="BP28" i="32"/>
  <c r="CB28" i="32" s="1"/>
  <c r="BS29" i="32"/>
  <c r="CE29" i="32" s="1"/>
  <c r="CK29" i="32" s="1"/>
  <c r="CQ29" i="32" s="1"/>
  <c r="BQ28" i="32"/>
  <c r="CC28" i="32" s="1"/>
  <c r="CI28" i="32" s="1"/>
  <c r="CO28" i="32" s="1"/>
  <c r="BO27" i="32"/>
  <c r="BS28" i="32"/>
  <c r="CE28" i="32" s="1"/>
  <c r="CK28" i="32" s="1"/>
  <c r="CQ28" i="32" s="1"/>
  <c r="BO28" i="32"/>
  <c r="BQ27" i="32"/>
  <c r="CC27" i="32" s="1"/>
  <c r="CI27" i="32" s="1"/>
  <c r="CO27" i="32" s="1"/>
  <c r="BQ29" i="32"/>
  <c r="CC29" i="32" s="1"/>
  <c r="CI29" i="32" s="1"/>
  <c r="CO29" i="32" s="1"/>
  <c r="BP27" i="32"/>
  <c r="CB27" i="32" s="1"/>
  <c r="BR27" i="32"/>
  <c r="CJ27" i="32" s="1"/>
  <c r="CP27" i="32" s="1"/>
  <c r="BR28" i="32"/>
  <c r="CJ28" i="32" s="1"/>
  <c r="CP28" i="32" s="1"/>
  <c r="CU7" i="32"/>
  <c r="CU14" i="32"/>
  <c r="CU9" i="32"/>
  <c r="CU15" i="32"/>
  <c r="CU11" i="32"/>
  <c r="CU24" i="32"/>
  <c r="CU26" i="32"/>
  <c r="AG4" i="33"/>
  <c r="AF4" i="33" s="1"/>
  <c r="CU22" i="32"/>
  <c r="CU16" i="32"/>
  <c r="CU10" i="32"/>
  <c r="CU25" i="32"/>
  <c r="CU12" i="32"/>
  <c r="CU8" i="32"/>
  <c r="CU19" i="32"/>
  <c r="CU6" i="32"/>
  <c r="CU5" i="32"/>
  <c r="CU21" i="32"/>
  <c r="CU17" i="32"/>
  <c r="CU20" i="32"/>
  <c r="CU23" i="32"/>
  <c r="CU13" i="32"/>
  <c r="CU18" i="32"/>
  <c r="DX8" i="2"/>
  <c r="DY8" i="2"/>
  <c r="DB22" i="2"/>
  <c r="AM22" i="2" s="1"/>
  <c r="DN22" i="2"/>
  <c r="DZ6" i="43"/>
  <c r="DY6" i="43"/>
  <c r="DC6" i="42"/>
  <c r="AM6" i="42" s="1"/>
  <c r="DO6" i="42"/>
  <c r="DB18" i="2"/>
  <c r="AM18" i="2" s="1"/>
  <c r="DN18" i="2"/>
  <c r="DB21" i="2"/>
  <c r="AM21" i="2" s="1"/>
  <c r="DN21" i="2"/>
  <c r="DB19" i="2"/>
  <c r="AM19" i="2" s="1"/>
  <c r="DN19" i="2"/>
  <c r="DB20" i="2"/>
  <c r="AM20" i="2" s="1"/>
  <c r="DN20" i="2"/>
  <c r="DB23" i="2"/>
  <c r="AM23" i="2" s="1"/>
  <c r="DN23" i="2"/>
  <c r="DB28" i="2"/>
  <c r="AM28" i="2" s="1"/>
  <c r="DN28" i="2"/>
  <c r="EJ16" i="2"/>
  <c r="ET16" i="2" s="1"/>
  <c r="AQ16" i="2" s="1"/>
  <c r="AR16" i="2" s="1"/>
  <c r="EJ9" i="2" l="1"/>
  <c r="ET9" i="2" s="1"/>
  <c r="AQ9" i="2" s="1"/>
  <c r="AR9" i="2" s="1"/>
  <c r="BT27" i="32"/>
  <c r="DY22" i="2"/>
  <c r="EI22" i="2" s="1"/>
  <c r="AO22" i="2" s="1"/>
  <c r="AP22" i="2" s="1"/>
  <c r="DX22" i="2"/>
  <c r="CX5" i="32"/>
  <c r="DA5" i="32"/>
  <c r="CX22" i="32"/>
  <c r="DA22" i="32"/>
  <c r="CX11" i="32"/>
  <c r="DA11" i="32"/>
  <c r="DA7" i="32"/>
  <c r="CX7" i="32"/>
  <c r="DX28" i="2"/>
  <c r="DY28" i="2"/>
  <c r="EI28" i="2" s="1"/>
  <c r="AO28" i="2" s="1"/>
  <c r="AP28" i="2" s="1"/>
  <c r="DZ6" i="42"/>
  <c r="DY6" i="42"/>
  <c r="CX23" i="32"/>
  <c r="DA23" i="32"/>
  <c r="CX12" i="32"/>
  <c r="DA12" i="32"/>
  <c r="CT7" i="46"/>
  <c r="CW7" i="46"/>
  <c r="S8" i="49"/>
  <c r="AT8" i="49"/>
  <c r="DX20" i="2"/>
  <c r="DY20" i="2"/>
  <c r="EI20" i="2" s="1"/>
  <c r="AO20" i="2" s="1"/>
  <c r="AP20" i="2" s="1"/>
  <c r="DY21" i="2"/>
  <c r="EI21" i="2" s="1"/>
  <c r="AO21" i="2" s="1"/>
  <c r="AP21" i="2" s="1"/>
  <c r="DX21" i="2"/>
  <c r="CX6" i="32"/>
  <c r="DA6" i="32"/>
  <c r="AQ5" i="48"/>
  <c r="DO27" i="2"/>
  <c r="DZ27" i="2" s="1"/>
  <c r="EK27" i="2" s="1"/>
  <c r="CR27" i="2"/>
  <c r="CT27" i="2"/>
  <c r="DP27" i="2" s="1"/>
  <c r="EA27" i="2" s="1"/>
  <c r="EL27" i="2" s="1"/>
  <c r="DA27" i="2"/>
  <c r="DW27" i="2" s="1"/>
  <c r="EH27" i="2" s="1"/>
  <c r="ES27" i="2" s="1"/>
  <c r="CX27" i="2"/>
  <c r="DT27" i="2" s="1"/>
  <c r="EE27" i="2" s="1"/>
  <c r="EP27" i="2" s="1"/>
  <c r="CU27" i="2"/>
  <c r="DQ27" i="2" s="1"/>
  <c r="EB27" i="2" s="1"/>
  <c r="EM27" i="2" s="1"/>
  <c r="CZ27" i="2"/>
  <c r="DV27" i="2" s="1"/>
  <c r="EG27" i="2" s="1"/>
  <c r="ER27" i="2" s="1"/>
  <c r="CY27" i="2"/>
  <c r="DU27" i="2" s="1"/>
  <c r="EF27" i="2" s="1"/>
  <c r="EQ27" i="2" s="1"/>
  <c r="CV27" i="2"/>
  <c r="DR27" i="2" s="1"/>
  <c r="EC27" i="2" s="1"/>
  <c r="EN27" i="2" s="1"/>
  <c r="CW27" i="2"/>
  <c r="DS27" i="2" s="1"/>
  <c r="ED27" i="2" s="1"/>
  <c r="EO27" i="2" s="1"/>
  <c r="AE4" i="33"/>
  <c r="AD4" i="33" s="1"/>
  <c r="AC4" i="33" s="1"/>
  <c r="AB4" i="33" s="1"/>
  <c r="AA4" i="33" s="1"/>
  <c r="DA15" i="32"/>
  <c r="CX15" i="32"/>
  <c r="CT5" i="46"/>
  <c r="CW5" i="46"/>
  <c r="CX18" i="32"/>
  <c r="DA18" i="32"/>
  <c r="DA19" i="32"/>
  <c r="CX19" i="32"/>
  <c r="CX26" i="32"/>
  <c r="DA26" i="32"/>
  <c r="CX9" i="32"/>
  <c r="DA9" i="32"/>
  <c r="DA20" i="32"/>
  <c r="CX20" i="32"/>
  <c r="CX25" i="32"/>
  <c r="DA25" i="32"/>
  <c r="BT29" i="32"/>
  <c r="CT9" i="46"/>
  <c r="CW9" i="46"/>
  <c r="EJ8" i="2"/>
  <c r="ET8" i="2" s="1"/>
  <c r="AQ8" i="2" s="1"/>
  <c r="EI8" i="2"/>
  <c r="AO8" i="2" s="1"/>
  <c r="DA17" i="32"/>
  <c r="CX17" i="32"/>
  <c r="CX10" i="32"/>
  <c r="DA10" i="32"/>
  <c r="BT28" i="32"/>
  <c r="CH29" i="32"/>
  <c r="CL29" i="32" s="1"/>
  <c r="DC5" i="39"/>
  <c r="AM5" i="39" s="1"/>
  <c r="DO5" i="39"/>
  <c r="S11" i="48"/>
  <c r="AT11" i="48"/>
  <c r="DX23" i="2"/>
  <c r="DY23" i="2"/>
  <c r="EI23" i="2" s="1"/>
  <c r="AO23" i="2" s="1"/>
  <c r="AP23" i="2" s="1"/>
  <c r="DY19" i="2"/>
  <c r="EI19" i="2" s="1"/>
  <c r="AO19" i="2" s="1"/>
  <c r="AP19" i="2" s="1"/>
  <c r="DX19" i="2"/>
  <c r="DX18" i="2"/>
  <c r="DY18" i="2"/>
  <c r="EI18" i="2" s="1"/>
  <c r="AO18" i="2" s="1"/>
  <c r="AP18" i="2" s="1"/>
  <c r="EK6" i="43"/>
  <c r="EU6" i="43" s="1"/>
  <c r="AQ6" i="43" s="1"/>
  <c r="EJ6" i="43"/>
  <c r="AO6" i="43" s="1"/>
  <c r="AP6" i="43" s="1"/>
  <c r="DA13" i="32"/>
  <c r="CX13" i="32"/>
  <c r="CX21" i="32"/>
  <c r="DA21" i="32"/>
  <c r="DA8" i="32"/>
  <c r="CX8" i="32"/>
  <c r="CX16" i="32"/>
  <c r="DA16" i="32"/>
  <c r="CX24" i="32"/>
  <c r="DA24" i="32"/>
  <c r="CX14" i="32"/>
  <c r="DA14" i="32"/>
  <c r="CH27" i="32"/>
  <c r="CL27" i="32" s="1"/>
  <c r="CH28" i="32"/>
  <c r="CL28" i="32" s="1"/>
  <c r="CT8" i="46"/>
  <c r="CW8" i="46"/>
  <c r="CT10" i="46"/>
  <c r="CW10" i="46"/>
  <c r="CT6" i="46"/>
  <c r="CW6" i="46"/>
  <c r="S10" i="48"/>
  <c r="AT10" i="48"/>
  <c r="AP8" i="2" l="1"/>
  <c r="EJ22" i="2"/>
  <c r="ET22" i="2" s="1"/>
  <c r="AQ22" i="2" s="1"/>
  <c r="AR8" i="2"/>
  <c r="EJ21" i="2"/>
  <c r="ET21" i="2" s="1"/>
  <c r="AQ21" i="2" s="1"/>
  <c r="AR21" i="2" s="1"/>
  <c r="AR22" i="2"/>
  <c r="EJ23" i="2"/>
  <c r="ET23" i="2" s="1"/>
  <c r="AQ23" i="2" s="1"/>
  <c r="AR23" i="2" s="1"/>
  <c r="CN27" i="32"/>
  <c r="CR27" i="32" s="1"/>
  <c r="EJ18" i="2"/>
  <c r="ET18" i="2" s="1"/>
  <c r="AQ18" i="2" s="1"/>
  <c r="AR18" i="2" s="1"/>
  <c r="CN29" i="32"/>
  <c r="CR29" i="32" s="1"/>
  <c r="EJ20" i="2"/>
  <c r="ET20" i="2" s="1"/>
  <c r="AQ20" i="2" s="1"/>
  <c r="AR20" i="2" s="1"/>
  <c r="CN28" i="32"/>
  <c r="CR28" i="32" s="1"/>
  <c r="AR6" i="43"/>
  <c r="DD6" i="46"/>
  <c r="DG6" i="46" s="1"/>
  <c r="DJ6" i="46" s="1"/>
  <c r="DM6" i="46" s="1"/>
  <c r="CZ6" i="46"/>
  <c r="S5" i="48"/>
  <c r="AT5" i="48"/>
  <c r="DH18" i="32"/>
  <c r="DK18" i="32" s="1"/>
  <c r="DN18" i="32" s="1"/>
  <c r="DQ18" i="32" s="1"/>
  <c r="DD18" i="32"/>
  <c r="DH6" i="32"/>
  <c r="DK6" i="32" s="1"/>
  <c r="DN6" i="32" s="1"/>
  <c r="DQ6" i="32" s="1"/>
  <c r="DD6" i="32"/>
  <c r="CZ7" i="46"/>
  <c r="DD7" i="46"/>
  <c r="DG7" i="46" s="1"/>
  <c r="DJ7" i="46" s="1"/>
  <c r="DM7" i="46" s="1"/>
  <c r="DH12" i="32"/>
  <c r="DK12" i="32" s="1"/>
  <c r="DN12" i="32" s="1"/>
  <c r="DQ12" i="32" s="1"/>
  <c r="DD12" i="32"/>
  <c r="DD22" i="32"/>
  <c r="DH22" i="32"/>
  <c r="DK22" i="32" s="1"/>
  <c r="DN22" i="32" s="1"/>
  <c r="DQ22" i="32" s="1"/>
  <c r="DD19" i="32"/>
  <c r="DH19" i="32"/>
  <c r="DK19" i="32" s="1"/>
  <c r="DN19" i="32" s="1"/>
  <c r="DQ19" i="32" s="1"/>
  <c r="AU11" i="48"/>
  <c r="U11" i="48" s="1"/>
  <c r="V11" i="48" s="1"/>
  <c r="DH26" i="32"/>
  <c r="DK26" i="32" s="1"/>
  <c r="DN26" i="32" s="1"/>
  <c r="DQ26" i="32" s="1"/>
  <c r="DD26" i="32"/>
  <c r="CZ10" i="46"/>
  <c r="DD10" i="46"/>
  <c r="DG10" i="46" s="1"/>
  <c r="DJ10" i="46" s="1"/>
  <c r="DM10" i="46" s="1"/>
  <c r="DD14" i="32"/>
  <c r="DH14" i="32"/>
  <c r="DK14" i="32" s="1"/>
  <c r="DN14" i="32" s="1"/>
  <c r="DQ14" i="32" s="1"/>
  <c r="DH16" i="32"/>
  <c r="DK16" i="32" s="1"/>
  <c r="DN16" i="32" s="1"/>
  <c r="DQ16" i="32" s="1"/>
  <c r="DD16" i="32"/>
  <c r="DH21" i="32"/>
  <c r="DK21" i="32" s="1"/>
  <c r="DN21" i="32" s="1"/>
  <c r="DQ21" i="32" s="1"/>
  <c r="DD21" i="32"/>
  <c r="DH25" i="32"/>
  <c r="DK25" i="32" s="1"/>
  <c r="DN25" i="32" s="1"/>
  <c r="DQ25" i="32" s="1"/>
  <c r="DD25" i="32"/>
  <c r="DH15" i="32"/>
  <c r="DK15" i="32" s="1"/>
  <c r="DN15" i="32" s="1"/>
  <c r="DQ15" i="32" s="1"/>
  <c r="DD15" i="32"/>
  <c r="EK6" i="42"/>
  <c r="EU6" i="42" s="1"/>
  <c r="AQ6" i="42" s="1"/>
  <c r="EJ6" i="42"/>
  <c r="AO6" i="42" s="1"/>
  <c r="DH7" i="32"/>
  <c r="DK7" i="32" s="1"/>
  <c r="DN7" i="32" s="1"/>
  <c r="DQ7" i="32" s="1"/>
  <c r="DD7" i="32"/>
  <c r="AU10" i="48"/>
  <c r="U10" i="48" s="1"/>
  <c r="V10" i="48" s="1"/>
  <c r="CZ8" i="46"/>
  <c r="DD8" i="46"/>
  <c r="DG8" i="46" s="1"/>
  <c r="DJ8" i="46" s="1"/>
  <c r="DM8" i="46" s="1"/>
  <c r="DD24" i="32"/>
  <c r="DH24" i="32"/>
  <c r="DK24" i="32" s="1"/>
  <c r="DN24" i="32" s="1"/>
  <c r="DQ24" i="32" s="1"/>
  <c r="DH10" i="32"/>
  <c r="DK10" i="32" s="1"/>
  <c r="DN10" i="32" s="1"/>
  <c r="DQ10" i="32" s="1"/>
  <c r="DD10" i="32"/>
  <c r="DB27" i="2"/>
  <c r="AM27" i="2" s="1"/>
  <c r="DN27" i="2"/>
  <c r="CX40" i="32"/>
  <c r="DH8" i="32"/>
  <c r="DK8" i="32" s="1"/>
  <c r="DN8" i="32" s="1"/>
  <c r="DQ8" i="32" s="1"/>
  <c r="DD8" i="32"/>
  <c r="DD13" i="32"/>
  <c r="DH13" i="32"/>
  <c r="DK13" i="32" s="1"/>
  <c r="DN13" i="32" s="1"/>
  <c r="DQ13" i="32" s="1"/>
  <c r="DH20" i="32"/>
  <c r="DK20" i="32" s="1"/>
  <c r="DN20" i="32" s="1"/>
  <c r="DQ20" i="32" s="1"/>
  <c r="DD20" i="32"/>
  <c r="EJ19" i="2"/>
  <c r="ET19" i="2" s="1"/>
  <c r="AQ19" i="2" s="1"/>
  <c r="AR19" i="2" s="1"/>
  <c r="DY5" i="39"/>
  <c r="DZ5" i="39"/>
  <c r="EJ5" i="39" s="1"/>
  <c r="AO5" i="39" s="1"/>
  <c r="AP5" i="39" s="1"/>
  <c r="DD17" i="32"/>
  <c r="DH17" i="32"/>
  <c r="DK17" i="32" s="1"/>
  <c r="DN17" i="32" s="1"/>
  <c r="DQ17" i="32" s="1"/>
  <c r="CZ9" i="46"/>
  <c r="DD9" i="46"/>
  <c r="DG9" i="46" s="1"/>
  <c r="DJ9" i="46" s="1"/>
  <c r="DM9" i="46" s="1"/>
  <c r="DH9" i="32"/>
  <c r="DK9" i="32" s="1"/>
  <c r="DN9" i="32" s="1"/>
  <c r="DQ9" i="32" s="1"/>
  <c r="DD9" i="32"/>
  <c r="DD5" i="46"/>
  <c r="DG5" i="46" s="1"/>
  <c r="DJ5" i="46" s="1"/>
  <c r="DM5" i="46" s="1"/>
  <c r="CZ5" i="46"/>
  <c r="CY37" i="2"/>
  <c r="DU37" i="2" s="1"/>
  <c r="EF37" i="2" s="1"/>
  <c r="EQ37" i="2" s="1"/>
  <c r="DA37" i="2"/>
  <c r="DW37" i="2" s="1"/>
  <c r="EH37" i="2" s="1"/>
  <c r="ES37" i="2" s="1"/>
  <c r="CU36" i="2"/>
  <c r="DQ36" i="2" s="1"/>
  <c r="EB36" i="2" s="1"/>
  <c r="EM36" i="2" s="1"/>
  <c r="CZ36" i="2"/>
  <c r="DV36" i="2" s="1"/>
  <c r="EG36" i="2" s="1"/>
  <c r="ER36" i="2" s="1"/>
  <c r="CU37" i="2"/>
  <c r="DQ37" i="2" s="1"/>
  <c r="EB37" i="2" s="1"/>
  <c r="EM37" i="2" s="1"/>
  <c r="CY36" i="2"/>
  <c r="DU36" i="2" s="1"/>
  <c r="EF36" i="2" s="1"/>
  <c r="EQ36" i="2" s="1"/>
  <c r="CR36" i="2"/>
  <c r="CX37" i="2"/>
  <c r="DT37" i="2" s="1"/>
  <c r="EE37" i="2" s="1"/>
  <c r="EP37" i="2" s="1"/>
  <c r="CT36" i="2"/>
  <c r="DP36" i="2" s="1"/>
  <c r="EA36" i="2" s="1"/>
  <c r="EL36" i="2" s="1"/>
  <c r="CX36" i="2"/>
  <c r="DT36" i="2" s="1"/>
  <c r="EE36" i="2" s="1"/>
  <c r="EP36" i="2" s="1"/>
  <c r="CT37" i="2"/>
  <c r="DP37" i="2" s="1"/>
  <c r="EA37" i="2" s="1"/>
  <c r="EL37" i="2" s="1"/>
  <c r="DA36" i="2"/>
  <c r="DW36" i="2" s="1"/>
  <c r="EH36" i="2" s="1"/>
  <c r="ES36" i="2" s="1"/>
  <c r="DO37" i="2"/>
  <c r="DZ37" i="2" s="1"/>
  <c r="EK37" i="2" s="1"/>
  <c r="CW37" i="2"/>
  <c r="DS37" i="2" s="1"/>
  <c r="ED37" i="2" s="1"/>
  <c r="EO37" i="2" s="1"/>
  <c r="CV36" i="2"/>
  <c r="DR36" i="2" s="1"/>
  <c r="EC36" i="2" s="1"/>
  <c r="EN36" i="2" s="1"/>
  <c r="CZ37" i="2"/>
  <c r="DV37" i="2" s="1"/>
  <c r="EG37" i="2" s="1"/>
  <c r="ER37" i="2" s="1"/>
  <c r="CW36" i="2"/>
  <c r="DS36" i="2" s="1"/>
  <c r="ED36" i="2" s="1"/>
  <c r="EO36" i="2" s="1"/>
  <c r="DO36" i="2"/>
  <c r="DZ36" i="2" s="1"/>
  <c r="EK36" i="2" s="1"/>
  <c r="CV37" i="2"/>
  <c r="DR37" i="2" s="1"/>
  <c r="EC37" i="2" s="1"/>
  <c r="EN37" i="2" s="1"/>
  <c r="CR37" i="2"/>
  <c r="Z4" i="33"/>
  <c r="Y4" i="33" s="1"/>
  <c r="X4" i="33" s="1"/>
  <c r="AU8" i="49"/>
  <c r="U8" i="49" s="1"/>
  <c r="V8" i="49" s="1"/>
  <c r="DD23" i="32"/>
  <c r="DH23" i="32"/>
  <c r="DK23" i="32" s="1"/>
  <c r="DN23" i="32" s="1"/>
  <c r="DQ23" i="32" s="1"/>
  <c r="EJ28" i="2"/>
  <c r="ET28" i="2" s="1"/>
  <c r="AQ28" i="2" s="1"/>
  <c r="AR28" i="2" s="1"/>
  <c r="DH11" i="32"/>
  <c r="DK11" i="32" s="1"/>
  <c r="DN11" i="32" s="1"/>
  <c r="DQ11" i="32" s="1"/>
  <c r="DD11" i="32"/>
  <c r="DH5" i="32"/>
  <c r="DK5" i="32" s="1"/>
  <c r="DN5" i="32" s="1"/>
  <c r="DQ5" i="32" s="1"/>
  <c r="DD5" i="32"/>
  <c r="DB36" i="2" l="1"/>
  <c r="AM36" i="2" s="1"/>
  <c r="DN36" i="2"/>
  <c r="AU5" i="48"/>
  <c r="U5" i="48" s="1"/>
  <c r="V5" i="48" s="1"/>
  <c r="DX27" i="2"/>
  <c r="DY27" i="2"/>
  <c r="EI27" i="2" s="1"/>
  <c r="AO27" i="2" s="1"/>
  <c r="AP27" i="2" s="1"/>
  <c r="AV10" i="48"/>
  <c r="W10" i="48" s="1"/>
  <c r="X10" i="48" s="1"/>
  <c r="AP6" i="42"/>
  <c r="DB37" i="2"/>
  <c r="AM37" i="2" s="1"/>
  <c r="DN37" i="2"/>
  <c r="AV8" i="49"/>
  <c r="W8" i="49" s="1"/>
  <c r="X8" i="49" s="1"/>
  <c r="CV46" i="2"/>
  <c r="DR46" i="2" s="1"/>
  <c r="EC46" i="2" s="1"/>
  <c r="EN46" i="2" s="1"/>
  <c r="CT46" i="2"/>
  <c r="DP46" i="2" s="1"/>
  <c r="EA46" i="2" s="1"/>
  <c r="EL46" i="2" s="1"/>
  <c r="DO46" i="2"/>
  <c r="DZ46" i="2" s="1"/>
  <c r="EK46" i="2" s="1"/>
  <c r="CU46" i="2"/>
  <c r="DQ46" i="2" s="1"/>
  <c r="EB46" i="2" s="1"/>
  <c r="EM46" i="2" s="1"/>
  <c r="CZ46" i="2"/>
  <c r="DV46" i="2" s="1"/>
  <c r="EG46" i="2" s="1"/>
  <c r="ER46" i="2" s="1"/>
  <c r="CY46" i="2"/>
  <c r="DU46" i="2" s="1"/>
  <c r="EF46" i="2" s="1"/>
  <c r="EQ46" i="2" s="1"/>
  <c r="CW46" i="2"/>
  <c r="DS46" i="2" s="1"/>
  <c r="ED46" i="2" s="1"/>
  <c r="EO46" i="2" s="1"/>
  <c r="DA46" i="2"/>
  <c r="DW46" i="2" s="1"/>
  <c r="EH46" i="2" s="1"/>
  <c r="ES46" i="2" s="1"/>
  <c r="CX46" i="2"/>
  <c r="DT46" i="2" s="1"/>
  <c r="EE46" i="2" s="1"/>
  <c r="EP46" i="2" s="1"/>
  <c r="CR46" i="2"/>
  <c r="W4" i="33"/>
  <c r="V4" i="33" s="1"/>
  <c r="EK5" i="39"/>
  <c r="EU5" i="39" s="1"/>
  <c r="AQ5" i="39" s="1"/>
  <c r="AV11" i="48"/>
  <c r="W11" i="48" s="1"/>
  <c r="X11" i="48" s="1"/>
  <c r="DB46" i="2" l="1"/>
  <c r="AM46" i="2" s="1"/>
  <c r="DN46" i="2"/>
  <c r="AR6" i="42"/>
  <c r="AV5" i="48"/>
  <c r="W5" i="48" s="1"/>
  <c r="X5" i="48" s="1"/>
  <c r="DY36" i="2"/>
  <c r="EI36" i="2" s="1"/>
  <c r="AO36" i="2" s="1"/>
  <c r="AP36" i="2" s="1"/>
  <c r="DX36" i="2"/>
  <c r="AR5" i="39"/>
  <c r="U4" i="33"/>
  <c r="T4" i="33" s="1"/>
  <c r="DY37" i="2"/>
  <c r="DX37" i="2"/>
  <c r="EJ27" i="2"/>
  <c r="ET27" i="2" s="1"/>
  <c r="AQ27" i="2" s="1"/>
  <c r="AR27" i="2" s="1"/>
  <c r="EJ37" i="2" l="1"/>
  <c r="ET37" i="2" s="1"/>
  <c r="AQ37" i="2" s="1"/>
  <c r="EI37" i="2"/>
  <c r="AO37" i="2" s="1"/>
  <c r="AP37" i="2" s="1"/>
  <c r="DX46" i="2"/>
  <c r="DY46" i="2"/>
  <c r="EI46" i="2" s="1"/>
  <c r="AO46" i="2" s="1"/>
  <c r="AP46" i="2" s="1"/>
  <c r="CV38" i="2"/>
  <c r="DR38" i="2" s="1"/>
  <c r="EC38" i="2" s="1"/>
  <c r="EN38" i="2" s="1"/>
  <c r="CW38" i="2"/>
  <c r="DS38" i="2" s="1"/>
  <c r="ED38" i="2" s="1"/>
  <c r="EO38" i="2" s="1"/>
  <c r="CU38" i="2"/>
  <c r="DQ38" i="2" s="1"/>
  <c r="EB38" i="2" s="1"/>
  <c r="EM38" i="2" s="1"/>
  <c r="CZ38" i="2"/>
  <c r="DV38" i="2" s="1"/>
  <c r="EG38" i="2" s="1"/>
  <c r="ER38" i="2" s="1"/>
  <c r="DA38" i="2"/>
  <c r="DW38" i="2" s="1"/>
  <c r="EH38" i="2" s="1"/>
  <c r="ES38" i="2" s="1"/>
  <c r="CY38" i="2"/>
  <c r="DU38" i="2" s="1"/>
  <c r="EF38" i="2" s="1"/>
  <c r="EQ38" i="2" s="1"/>
  <c r="CR38" i="2"/>
  <c r="CX38" i="2"/>
  <c r="DT38" i="2" s="1"/>
  <c r="EE38" i="2" s="1"/>
  <c r="EP38" i="2" s="1"/>
  <c r="CT38" i="2"/>
  <c r="DP38" i="2" s="1"/>
  <c r="EA38" i="2" s="1"/>
  <c r="EL38" i="2" s="1"/>
  <c r="DO38" i="2"/>
  <c r="DZ38" i="2" s="1"/>
  <c r="EK38" i="2" s="1"/>
  <c r="S4" i="33"/>
  <c r="R4" i="33" s="1"/>
  <c r="Q4" i="33" s="1"/>
  <c r="EJ36" i="2"/>
  <c r="ET36" i="2" s="1"/>
  <c r="AQ36" i="2" s="1"/>
  <c r="AR36" i="2" s="1"/>
  <c r="AR37" i="2" l="1"/>
  <c r="EJ46" i="2"/>
  <c r="ET46" i="2" s="1"/>
  <c r="AQ46" i="2" s="1"/>
  <c r="AR46" i="2" s="1"/>
  <c r="P4" i="33"/>
  <c r="O4" i="33" s="1"/>
  <c r="CT5" i="41"/>
  <c r="DP5" i="41" s="1"/>
  <c r="EA5" i="41" s="1"/>
  <c r="EL5" i="41" s="1"/>
  <c r="DB5" i="41"/>
  <c r="DX5" i="41" s="1"/>
  <c r="EI5" i="41" s="1"/>
  <c r="ET5" i="41" s="1"/>
  <c r="CS5" i="41"/>
  <c r="CV5" i="41"/>
  <c r="DR5" i="41" s="1"/>
  <c r="EC5" i="41" s="1"/>
  <c r="EN5" i="41" s="1"/>
  <c r="CW5" i="41"/>
  <c r="DS5" i="41" s="1"/>
  <c r="ED5" i="41" s="1"/>
  <c r="EO5" i="41" s="1"/>
  <c r="CZ5" i="41"/>
  <c r="DV5" i="41" s="1"/>
  <c r="EG5" i="41" s="1"/>
  <c r="ER5" i="41" s="1"/>
  <c r="CX5" i="41"/>
  <c r="DT5" i="41" s="1"/>
  <c r="EE5" i="41" s="1"/>
  <c r="EP5" i="41" s="1"/>
  <c r="DA5" i="41"/>
  <c r="DW5" i="41" s="1"/>
  <c r="EH5" i="41" s="1"/>
  <c r="ES5" i="41" s="1"/>
  <c r="CU5" i="41"/>
  <c r="DQ5" i="41" s="1"/>
  <c r="EB5" i="41" s="1"/>
  <c r="EM5" i="41" s="1"/>
  <c r="CY5" i="41"/>
  <c r="DU5" i="41" s="1"/>
  <c r="EF5" i="41" s="1"/>
  <c r="EQ5" i="41" s="1"/>
  <c r="DB38" i="2"/>
  <c r="AM38" i="2" s="1"/>
  <c r="DN38" i="2"/>
  <c r="DO5" i="41" l="1"/>
  <c r="DC5" i="41"/>
  <c r="AM5" i="41" s="1"/>
  <c r="DY38" i="2"/>
  <c r="DX38" i="2"/>
  <c r="N4" i="33"/>
  <c r="BM7" i="46"/>
  <c r="BY7" i="46" s="1"/>
  <c r="CE7" i="46" s="1"/>
  <c r="CK7" i="46" s="1"/>
  <c r="BL5" i="46"/>
  <c r="BX5" i="46" s="1"/>
  <c r="BM10" i="46"/>
  <c r="BY10" i="46" s="1"/>
  <c r="CE10" i="46" s="1"/>
  <c r="CK10" i="46" s="1"/>
  <c r="BL9" i="46"/>
  <c r="BX9" i="46" s="1"/>
  <c r="BL7" i="46"/>
  <c r="BX7" i="46" s="1"/>
  <c r="BM9" i="46"/>
  <c r="BY9" i="46" s="1"/>
  <c r="CE9" i="46" s="1"/>
  <c r="CK9" i="46" s="1"/>
  <c r="BM6" i="46"/>
  <c r="BY6" i="46" s="1"/>
  <c r="CE6" i="46" s="1"/>
  <c r="CK6" i="46" s="1"/>
  <c r="BL6" i="46"/>
  <c r="BX6" i="46" s="1"/>
  <c r="BM5" i="46"/>
  <c r="BY5" i="46" s="1"/>
  <c r="CE5" i="46" s="1"/>
  <c r="CK5" i="46" s="1"/>
  <c r="BL8" i="46"/>
  <c r="BX8" i="46" s="1"/>
  <c r="BL10" i="46"/>
  <c r="BX10" i="46" s="1"/>
  <c r="BM8" i="46"/>
  <c r="BY8" i="46" s="1"/>
  <c r="BK5" i="46"/>
  <c r="BK9" i="46"/>
  <c r="CU7" i="39"/>
  <c r="DQ7" i="39" s="1"/>
  <c r="EB7" i="39" s="1"/>
  <c r="EM7" i="39" s="1"/>
  <c r="CY7" i="39"/>
  <c r="DU7" i="39" s="1"/>
  <c r="EF7" i="39" s="1"/>
  <c r="EQ7" i="39" s="1"/>
  <c r="CW7" i="39"/>
  <c r="DS7" i="39" s="1"/>
  <c r="ED7" i="39" s="1"/>
  <c r="EO7" i="39" s="1"/>
  <c r="BK10" i="46"/>
  <c r="BK8" i="46"/>
  <c r="BK6" i="46"/>
  <c r="BK7" i="46"/>
  <c r="DA7" i="39"/>
  <c r="DW7" i="39" s="1"/>
  <c r="EH7" i="39" s="1"/>
  <c r="ES7" i="39" s="1"/>
  <c r="CS7" i="39"/>
  <c r="DO7" i="39" s="1"/>
  <c r="DZ7" i="39" s="1"/>
  <c r="EK7" i="39" s="1"/>
  <c r="CV7" i="39"/>
  <c r="DR7" i="39" s="1"/>
  <c r="EC7" i="39" s="1"/>
  <c r="EN7" i="39" s="1"/>
  <c r="CZ7" i="39"/>
  <c r="DV7" i="39" s="1"/>
  <c r="EG7" i="39" s="1"/>
  <c r="ER7" i="39" s="1"/>
  <c r="CT7" i="39"/>
  <c r="DB7" i="39"/>
  <c r="DX7" i="39" s="1"/>
  <c r="EI7" i="39" s="1"/>
  <c r="ET7" i="39" s="1"/>
  <c r="CX7" i="39"/>
  <c r="DT7" i="39" s="1"/>
  <c r="EE7" i="39" s="1"/>
  <c r="EP7" i="39" s="1"/>
  <c r="BR26" i="32"/>
  <c r="CJ26" i="32" s="1"/>
  <c r="CP26" i="32" s="1"/>
  <c r="BR5" i="32"/>
  <c r="CD5" i="32" s="1"/>
  <c r="CJ5" i="32" s="1"/>
  <c r="CP5" i="32" s="1"/>
  <c r="BR12" i="32"/>
  <c r="CD12" i="32" s="1"/>
  <c r="CJ12" i="32" s="1"/>
  <c r="CP12" i="32" s="1"/>
  <c r="BR19" i="32"/>
  <c r="CD19" i="32" s="1"/>
  <c r="CJ19" i="32" s="1"/>
  <c r="CP19" i="32" s="1"/>
  <c r="BQ7" i="32"/>
  <c r="CC7" i="32" s="1"/>
  <c r="CI7" i="32" s="1"/>
  <c r="CO7" i="32" s="1"/>
  <c r="BS17" i="32"/>
  <c r="CE17" i="32" s="1"/>
  <c r="CK17" i="32" s="1"/>
  <c r="CQ17" i="32" s="1"/>
  <c r="BS6" i="32"/>
  <c r="CE6" i="32" s="1"/>
  <c r="CK6" i="32" s="1"/>
  <c r="CQ6" i="32" s="1"/>
  <c r="BO14" i="32"/>
  <c r="BO12" i="32"/>
  <c r="BQ16" i="32"/>
  <c r="CC16" i="32" s="1"/>
  <c r="CI16" i="32" s="1"/>
  <c r="CO16" i="32" s="1"/>
  <c r="BQ15" i="32"/>
  <c r="CC15" i="32" s="1"/>
  <c r="CI15" i="32" s="1"/>
  <c r="CO15" i="32" s="1"/>
  <c r="BP26" i="32"/>
  <c r="CB26" i="32" s="1"/>
  <c r="BP24" i="32"/>
  <c r="CB24" i="32" s="1"/>
  <c r="BP22" i="32"/>
  <c r="CB22" i="32" s="1"/>
  <c r="BO8" i="32"/>
  <c r="BS26" i="32"/>
  <c r="CE26" i="32" s="1"/>
  <c r="CK26" i="32" s="1"/>
  <c r="CQ26" i="32" s="1"/>
  <c r="BS13" i="32"/>
  <c r="CE13" i="32" s="1"/>
  <c r="CK13" i="32" s="1"/>
  <c r="CQ13" i="32" s="1"/>
  <c r="BS8" i="32"/>
  <c r="CE8" i="32" s="1"/>
  <c r="CK8" i="32" s="1"/>
  <c r="CQ8" i="32" s="1"/>
  <c r="BS14" i="32"/>
  <c r="CE14" i="32" s="1"/>
  <c r="CK14" i="32" s="1"/>
  <c r="CQ14" i="32" s="1"/>
  <c r="BR15" i="32"/>
  <c r="CD15" i="32" s="1"/>
  <c r="CJ15" i="32" s="1"/>
  <c r="CP15" i="32" s="1"/>
  <c r="BR25" i="32"/>
  <c r="CD25" i="32" s="1"/>
  <c r="CJ25" i="32" s="1"/>
  <c r="CP25" i="32" s="1"/>
  <c r="BS7" i="32"/>
  <c r="CE7" i="32" s="1"/>
  <c r="CK7" i="32" s="1"/>
  <c r="CQ7" i="32" s="1"/>
  <c r="BS21" i="32"/>
  <c r="CE21" i="32" s="1"/>
  <c r="CK21" i="32" s="1"/>
  <c r="CQ21" i="32" s="1"/>
  <c r="BQ10" i="32"/>
  <c r="CC10" i="32" s="1"/>
  <c r="CI10" i="32" s="1"/>
  <c r="CO10" i="32" s="1"/>
  <c r="BQ22" i="32"/>
  <c r="CC22" i="32" s="1"/>
  <c r="CI22" i="32" s="1"/>
  <c r="CO22" i="32" s="1"/>
  <c r="BP11" i="32"/>
  <c r="CB11" i="32" s="1"/>
  <c r="BP18" i="32"/>
  <c r="CB18" i="32" s="1"/>
  <c r="BP14" i="32"/>
  <c r="CB14" i="32" s="1"/>
  <c r="BP16" i="32"/>
  <c r="CB16" i="32" s="1"/>
  <c r="BR18" i="32"/>
  <c r="CD18" i="32" s="1"/>
  <c r="CJ18" i="32" s="1"/>
  <c r="CP18" i="32" s="1"/>
  <c r="BQ23" i="32"/>
  <c r="CC23" i="32" s="1"/>
  <c r="CI23" i="32" s="1"/>
  <c r="CO23" i="32" s="1"/>
  <c r="BR23" i="32"/>
  <c r="CD23" i="32" s="1"/>
  <c r="CJ23" i="32" s="1"/>
  <c r="CP23" i="32" s="1"/>
  <c r="BQ14" i="32"/>
  <c r="CC14" i="32" s="1"/>
  <c r="CI14" i="32" s="1"/>
  <c r="CO14" i="32" s="1"/>
  <c r="BP8" i="32"/>
  <c r="CB8" i="32" s="1"/>
  <c r="BO23" i="32"/>
  <c r="BR16" i="32"/>
  <c r="CD16" i="32" s="1"/>
  <c r="CJ16" i="32" s="1"/>
  <c r="CP16" i="32" s="1"/>
  <c r="BQ19" i="32"/>
  <c r="CC19" i="32" s="1"/>
  <c r="CI19" i="32" s="1"/>
  <c r="CO19" i="32" s="1"/>
  <c r="BP10" i="32"/>
  <c r="CB10" i="32" s="1"/>
  <c r="CH10" i="32" s="1"/>
  <c r="BQ18" i="32"/>
  <c r="CC18" i="32" s="1"/>
  <c r="CI18" i="32" s="1"/>
  <c r="CO18" i="32" s="1"/>
  <c r="BO25" i="32"/>
  <c r="BO18" i="32"/>
  <c r="BO17" i="32"/>
  <c r="BQ21" i="32"/>
  <c r="CC21" i="32" s="1"/>
  <c r="CI21" i="32" s="1"/>
  <c r="CO21" i="32" s="1"/>
  <c r="BP19" i="32"/>
  <c r="CB19" i="32" s="1"/>
  <c r="BS10" i="32"/>
  <c r="CE10" i="32" s="1"/>
  <c r="CK10" i="32" s="1"/>
  <c r="CQ10" i="32" s="1"/>
  <c r="BR22" i="32"/>
  <c r="CD22" i="32" s="1"/>
  <c r="CJ22" i="32" s="1"/>
  <c r="CP22" i="32" s="1"/>
  <c r="BR7" i="32"/>
  <c r="CD7" i="32" s="1"/>
  <c r="CJ7" i="32" s="1"/>
  <c r="CP7" i="32" s="1"/>
  <c r="BO21" i="32"/>
  <c r="BR8" i="32"/>
  <c r="CD8" i="32" s="1"/>
  <c r="CJ8" i="32" s="1"/>
  <c r="CP8" i="32" s="1"/>
  <c r="BS19" i="32"/>
  <c r="CE19" i="32" s="1"/>
  <c r="CK19" i="32" s="1"/>
  <c r="CQ19" i="32" s="1"/>
  <c r="BS11" i="32"/>
  <c r="CE11" i="32" s="1"/>
  <c r="CK11" i="32" s="1"/>
  <c r="CQ11" i="32" s="1"/>
  <c r="BO20" i="32"/>
  <c r="BO24" i="32"/>
  <c r="BQ20" i="32"/>
  <c r="CC20" i="32" s="1"/>
  <c r="CI20" i="32" s="1"/>
  <c r="CO20" i="32" s="1"/>
  <c r="BQ11" i="32"/>
  <c r="CC11" i="32" s="1"/>
  <c r="CI11" i="32" s="1"/>
  <c r="CO11" i="32" s="1"/>
  <c r="BP5" i="32"/>
  <c r="CB5" i="32" s="1"/>
  <c r="BP12" i="32"/>
  <c r="CB12" i="32" s="1"/>
  <c r="BP25" i="32"/>
  <c r="CB25" i="32" s="1"/>
  <c r="BR10" i="32"/>
  <c r="CD10" i="32" s="1"/>
  <c r="CJ10" i="32" s="1"/>
  <c r="CP10" i="32" s="1"/>
  <c r="BR20" i="32"/>
  <c r="CD20" i="32" s="1"/>
  <c r="CJ20" i="32" s="1"/>
  <c r="CP20" i="32" s="1"/>
  <c r="BO11" i="32"/>
  <c r="BO7" i="32"/>
  <c r="BO9" i="32"/>
  <c r="BO5" i="32"/>
  <c r="BS15" i="32"/>
  <c r="CE15" i="32" s="1"/>
  <c r="CK15" i="32" s="1"/>
  <c r="CQ15" i="32" s="1"/>
  <c r="BQ8" i="32"/>
  <c r="CC8" i="32" s="1"/>
  <c r="CI8" i="32" s="1"/>
  <c r="CO8" i="32" s="1"/>
  <c r="BQ17" i="32"/>
  <c r="CC17" i="32" s="1"/>
  <c r="CI17" i="32" s="1"/>
  <c r="CO17" i="32" s="1"/>
  <c r="BP23" i="32"/>
  <c r="CB23" i="32" s="1"/>
  <c r="BP13" i="32"/>
  <c r="CB13" i="32" s="1"/>
  <c r="BQ9" i="32"/>
  <c r="CC9" i="32" s="1"/>
  <c r="CI9" i="32" s="1"/>
  <c r="CO9" i="32" s="1"/>
  <c r="BP20" i="32"/>
  <c r="CB20" i="32" s="1"/>
  <c r="BR11" i="32"/>
  <c r="CD11" i="32" s="1"/>
  <c r="CJ11" i="32" s="1"/>
  <c r="CP11" i="32" s="1"/>
  <c r="BR14" i="32"/>
  <c r="CD14" i="32" s="1"/>
  <c r="CJ14" i="32" s="1"/>
  <c r="CP14" i="32" s="1"/>
  <c r="BQ12" i="32"/>
  <c r="CC12" i="32" s="1"/>
  <c r="CI12" i="32" s="1"/>
  <c r="CO12" i="32" s="1"/>
  <c r="BP9" i="32"/>
  <c r="CB9" i="32" s="1"/>
  <c r="BS12" i="32"/>
  <c r="CE12" i="32" s="1"/>
  <c r="CK12" i="32" s="1"/>
  <c r="CQ12" i="32" s="1"/>
  <c r="BS5" i="32"/>
  <c r="CE5" i="32" s="1"/>
  <c r="CK5" i="32" s="1"/>
  <c r="CQ5" i="32" s="1"/>
  <c r="BR17" i="32"/>
  <c r="CD17" i="32" s="1"/>
  <c r="CJ17" i="32" s="1"/>
  <c r="CP17" i="32" s="1"/>
  <c r="BQ5" i="32"/>
  <c r="CC5" i="32" s="1"/>
  <c r="BS16" i="32"/>
  <c r="CE16" i="32" s="1"/>
  <c r="CK16" i="32" s="1"/>
  <c r="CQ16" i="32" s="1"/>
  <c r="BS18" i="32"/>
  <c r="CE18" i="32" s="1"/>
  <c r="CK18" i="32" s="1"/>
  <c r="CQ18" i="32" s="1"/>
  <c r="BP6" i="32"/>
  <c r="CB6" i="32" s="1"/>
  <c r="BR24" i="32"/>
  <c r="CD24" i="32" s="1"/>
  <c r="CJ24" i="32" s="1"/>
  <c r="CP24" i="32" s="1"/>
  <c r="BS23" i="32"/>
  <c r="CE23" i="32" s="1"/>
  <c r="CK23" i="32" s="1"/>
  <c r="CQ23" i="32" s="1"/>
  <c r="BS22" i="32"/>
  <c r="CE22" i="32" s="1"/>
  <c r="CK22" i="32" s="1"/>
  <c r="CQ22" i="32" s="1"/>
  <c r="BR13" i="32"/>
  <c r="CD13" i="32" s="1"/>
  <c r="CJ13" i="32" s="1"/>
  <c r="CP13" i="32" s="1"/>
  <c r="BR21" i="32"/>
  <c r="CD21" i="32" s="1"/>
  <c r="CJ21" i="32" s="1"/>
  <c r="CP21" i="32" s="1"/>
  <c r="BO6" i="32"/>
  <c r="BO19" i="32"/>
  <c r="BR9" i="32"/>
  <c r="CD9" i="32" s="1"/>
  <c r="CJ9" i="32" s="1"/>
  <c r="CP9" i="32" s="1"/>
  <c r="BS24" i="32"/>
  <c r="CE24" i="32" s="1"/>
  <c r="CK24" i="32" s="1"/>
  <c r="CQ24" i="32" s="1"/>
  <c r="BS20" i="32"/>
  <c r="CE20" i="32" s="1"/>
  <c r="CK20" i="32" s="1"/>
  <c r="CQ20" i="32" s="1"/>
  <c r="BQ25" i="32"/>
  <c r="CC25" i="32" s="1"/>
  <c r="CI25" i="32" s="1"/>
  <c r="CO25" i="32" s="1"/>
  <c r="BQ6" i="32"/>
  <c r="CC6" i="32" s="1"/>
  <c r="CI6" i="32" s="1"/>
  <c r="CO6" i="32" s="1"/>
  <c r="BP17" i="32"/>
  <c r="CB17" i="32" s="1"/>
  <c r="BO16" i="32"/>
  <c r="BO10" i="32"/>
  <c r="BO15" i="32"/>
  <c r="BP7" i="32"/>
  <c r="CB7" i="32" s="1"/>
  <c r="BO22" i="32"/>
  <c r="BS9" i="32"/>
  <c r="CE9" i="32" s="1"/>
  <c r="CK9" i="32" s="1"/>
  <c r="CQ9" i="32" s="1"/>
  <c r="BO13" i="32"/>
  <c r="BO26" i="32"/>
  <c r="BQ13" i="32"/>
  <c r="CC13" i="32" s="1"/>
  <c r="CI13" i="32" s="1"/>
  <c r="CO13" i="32" s="1"/>
  <c r="BP21" i="32"/>
  <c r="CB21" i="32" s="1"/>
  <c r="BR6" i="32"/>
  <c r="CD6" i="32" s="1"/>
  <c r="CJ6" i="32" s="1"/>
  <c r="CP6" i="32" s="1"/>
  <c r="BQ24" i="32"/>
  <c r="CC24" i="32" s="1"/>
  <c r="CI24" i="32" s="1"/>
  <c r="CO24" i="32" s="1"/>
  <c r="BS25" i="32"/>
  <c r="CE25" i="32" s="1"/>
  <c r="CK25" i="32" s="1"/>
  <c r="CQ25" i="32" s="1"/>
  <c r="BQ26" i="32"/>
  <c r="CC26" i="32" s="1"/>
  <c r="CI26" i="32" s="1"/>
  <c r="CO26" i="32" s="1"/>
  <c r="BP15" i="32"/>
  <c r="CB15" i="32" s="1"/>
  <c r="AQ10" i="49"/>
  <c r="AT10" i="49" s="1"/>
  <c r="BP9" i="46" l="1"/>
  <c r="Z9" i="46" s="1"/>
  <c r="BP8" i="46"/>
  <c r="Z8" i="46" s="1"/>
  <c r="BT13" i="32"/>
  <c r="AB13" i="32" s="1"/>
  <c r="BP5" i="46"/>
  <c r="Z5" i="46" s="1"/>
  <c r="BT11" i="32"/>
  <c r="AB11" i="32" s="1"/>
  <c r="BT10" i="32"/>
  <c r="AB10" i="32" s="1"/>
  <c r="BT16" i="32"/>
  <c r="AB16" i="32" s="1"/>
  <c r="BT19" i="32"/>
  <c r="AB19" i="32" s="1"/>
  <c r="BP7" i="46"/>
  <c r="Z7" i="46" s="1"/>
  <c r="BT26" i="32"/>
  <c r="AB26" i="32" s="1"/>
  <c r="CH17" i="32"/>
  <c r="CL17" i="32" s="1"/>
  <c r="AD17" i="32" s="1"/>
  <c r="CI5" i="32"/>
  <c r="CH9" i="32"/>
  <c r="CL9" i="32" s="1"/>
  <c r="AD9" i="32" s="1"/>
  <c r="CH20" i="32"/>
  <c r="CL20" i="32" s="1"/>
  <c r="AD20" i="32" s="1"/>
  <c r="BT9" i="32"/>
  <c r="AB9" i="32" s="1"/>
  <c r="BT23" i="32"/>
  <c r="AB23" i="32" s="1"/>
  <c r="CH18" i="32"/>
  <c r="CL18" i="32" s="1"/>
  <c r="AD18" i="32" s="1"/>
  <c r="BT8" i="32"/>
  <c r="AB8" i="32" s="1"/>
  <c r="CD10" i="46"/>
  <c r="CH10" i="46" s="1"/>
  <c r="AB10" i="46" s="1"/>
  <c r="CB10" i="46"/>
  <c r="CH7" i="32"/>
  <c r="CL7" i="32" s="1"/>
  <c r="AD7" i="32" s="1"/>
  <c r="CH15" i="32"/>
  <c r="CL15" i="32" s="1"/>
  <c r="AD15" i="32" s="1"/>
  <c r="BT15" i="32"/>
  <c r="AB15" i="32" s="1"/>
  <c r="CH6" i="32"/>
  <c r="CL6" i="32" s="1"/>
  <c r="AD6" i="32" s="1"/>
  <c r="BT7" i="32"/>
  <c r="AB7" i="32" s="1"/>
  <c r="CH25" i="32"/>
  <c r="CL25" i="32" s="1"/>
  <c r="AD25" i="32" s="1"/>
  <c r="BT17" i="32"/>
  <c r="AB17" i="32" s="1"/>
  <c r="CN10" i="32"/>
  <c r="CR10" i="32" s="1"/>
  <c r="AF10" i="32" s="1"/>
  <c r="CL10" i="32"/>
  <c r="AD10" i="32" s="1"/>
  <c r="CH8" i="32"/>
  <c r="CL8" i="32" s="1"/>
  <c r="AD8" i="32" s="1"/>
  <c r="CH11" i="32"/>
  <c r="CL11" i="32" s="1"/>
  <c r="AD11" i="32" s="1"/>
  <c r="CH22" i="32"/>
  <c r="CL22" i="32" s="1"/>
  <c r="AD22" i="32" s="1"/>
  <c r="DC7" i="39"/>
  <c r="AM7" i="39" s="1"/>
  <c r="DP7" i="39"/>
  <c r="BP10" i="46"/>
  <c r="Z10" i="46" s="1"/>
  <c r="CB8" i="46"/>
  <c r="CD8" i="46"/>
  <c r="CD5" i="46"/>
  <c r="CH5" i="46" s="1"/>
  <c r="AB5" i="46" s="1"/>
  <c r="CB5" i="46"/>
  <c r="EJ38" i="2"/>
  <c r="ET38" i="2" s="1"/>
  <c r="AQ38" i="2" s="1"/>
  <c r="EI38" i="2"/>
  <c r="AO38" i="2" s="1"/>
  <c r="AP38" i="2" s="1"/>
  <c r="DZ5" i="41"/>
  <c r="EJ5" i="41" s="1"/>
  <c r="AO5" i="41" s="1"/>
  <c r="DY5" i="41"/>
  <c r="CH13" i="32"/>
  <c r="CL13" i="32" s="1"/>
  <c r="AD13" i="32" s="1"/>
  <c r="CH12" i="32"/>
  <c r="CL12" i="32" s="1"/>
  <c r="AD12" i="32" s="1"/>
  <c r="BT24" i="32"/>
  <c r="AB24" i="32" s="1"/>
  <c r="BT18" i="32"/>
  <c r="AB18" i="32" s="1"/>
  <c r="CH16" i="32"/>
  <c r="CL16" i="32" s="1"/>
  <c r="AD16" i="32" s="1"/>
  <c r="CH24" i="32"/>
  <c r="CL24" i="32" s="1"/>
  <c r="AD24" i="32" s="1"/>
  <c r="BT12" i="32"/>
  <c r="AB12" i="32" s="1"/>
  <c r="CD7" i="46"/>
  <c r="CH7" i="46" s="1"/>
  <c r="AB7" i="46" s="1"/>
  <c r="CB7" i="46"/>
  <c r="CH21" i="32"/>
  <c r="CL21" i="32" s="1"/>
  <c r="AD21" i="32" s="1"/>
  <c r="BT22" i="32"/>
  <c r="AB22" i="32" s="1"/>
  <c r="BT6" i="32"/>
  <c r="AB6" i="32" s="1"/>
  <c r="CH23" i="32"/>
  <c r="CL23" i="32" s="1"/>
  <c r="AD23" i="32" s="1"/>
  <c r="BT5" i="32"/>
  <c r="AB5" i="32" s="1"/>
  <c r="CH5" i="32"/>
  <c r="CN5" i="32" s="1"/>
  <c r="BT20" i="32"/>
  <c r="AB20" i="32" s="1"/>
  <c r="BT21" i="32"/>
  <c r="AB21" i="32" s="1"/>
  <c r="CH19" i="32"/>
  <c r="CL19" i="32" s="1"/>
  <c r="AD19" i="32" s="1"/>
  <c r="BT25" i="32"/>
  <c r="AB25" i="32" s="1"/>
  <c r="CH14" i="32"/>
  <c r="CL14" i="32" s="1"/>
  <c r="AD14" i="32" s="1"/>
  <c r="CH26" i="32"/>
  <c r="CL26" i="32" s="1"/>
  <c r="AD26" i="32" s="1"/>
  <c r="BT14" i="32"/>
  <c r="AB14" i="32" s="1"/>
  <c r="BP6" i="46"/>
  <c r="Z6" i="46" s="1"/>
  <c r="CE8" i="46"/>
  <c r="CK8" i="46" s="1"/>
  <c r="CD6" i="46"/>
  <c r="CH6" i="46" s="1"/>
  <c r="AB6" i="46" s="1"/>
  <c r="CB6" i="46"/>
  <c r="CD9" i="46"/>
  <c r="CB9" i="46"/>
  <c r="CZ6" i="41"/>
  <c r="DV6" i="41" s="1"/>
  <c r="EG6" i="41" s="1"/>
  <c r="ER6" i="41" s="1"/>
  <c r="CU6" i="41"/>
  <c r="DQ6" i="41" s="1"/>
  <c r="EB6" i="41" s="1"/>
  <c r="EM6" i="41" s="1"/>
  <c r="CW6" i="41"/>
  <c r="DS6" i="41" s="1"/>
  <c r="ED6" i="41" s="1"/>
  <c r="EO6" i="41" s="1"/>
  <c r="CT6" i="41"/>
  <c r="DP6" i="41" s="1"/>
  <c r="EA6" i="41" s="1"/>
  <c r="EL6" i="41" s="1"/>
  <c r="DA6" i="41"/>
  <c r="DW6" i="41" s="1"/>
  <c r="EH6" i="41" s="1"/>
  <c r="ES6" i="41" s="1"/>
  <c r="CX6" i="41"/>
  <c r="DT6" i="41" s="1"/>
  <c r="EE6" i="41" s="1"/>
  <c r="EP6" i="41" s="1"/>
  <c r="CY6" i="41"/>
  <c r="DU6" i="41" s="1"/>
  <c r="EF6" i="41" s="1"/>
  <c r="EQ6" i="41" s="1"/>
  <c r="CV6" i="41"/>
  <c r="DR6" i="41" s="1"/>
  <c r="EC6" i="41" s="1"/>
  <c r="EN6" i="41" s="1"/>
  <c r="DB6" i="41"/>
  <c r="DX6" i="41" s="1"/>
  <c r="EI6" i="41" s="1"/>
  <c r="ET6" i="41" s="1"/>
  <c r="CS6" i="41"/>
  <c r="CR17" i="2"/>
  <c r="DO24" i="2"/>
  <c r="DZ24" i="2" s="1"/>
  <c r="EK24" i="2" s="1"/>
  <c r="CT17" i="2"/>
  <c r="DP17" i="2" s="1"/>
  <c r="EA17" i="2" s="1"/>
  <c r="EL17" i="2" s="1"/>
  <c r="CR24" i="2"/>
  <c r="CT24" i="2"/>
  <c r="DP24" i="2" s="1"/>
  <c r="EA24" i="2" s="1"/>
  <c r="EL24" i="2" s="1"/>
  <c r="DO17" i="2"/>
  <c r="DZ17" i="2" s="1"/>
  <c r="EK17" i="2" s="1"/>
  <c r="CR26" i="2"/>
  <c r="CT26" i="2"/>
  <c r="DP26" i="2" s="1"/>
  <c r="EA26" i="2" s="1"/>
  <c r="EL26" i="2" s="1"/>
  <c r="DO26" i="2"/>
  <c r="DZ26" i="2" s="1"/>
  <c r="EK26" i="2" s="1"/>
  <c r="CV26" i="2"/>
  <c r="DR26" i="2" s="1"/>
  <c r="EC26" i="2" s="1"/>
  <c r="EN26" i="2" s="1"/>
  <c r="CW24" i="2"/>
  <c r="DS24" i="2" s="1"/>
  <c r="ED24" i="2" s="1"/>
  <c r="EO24" i="2" s="1"/>
  <c r="CX26" i="2"/>
  <c r="DT26" i="2" s="1"/>
  <c r="EE26" i="2" s="1"/>
  <c r="EP26" i="2" s="1"/>
  <c r="DA24" i="2"/>
  <c r="DW24" i="2" s="1"/>
  <c r="EH24" i="2" s="1"/>
  <c r="ES24" i="2" s="1"/>
  <c r="DA26" i="2"/>
  <c r="DW26" i="2" s="1"/>
  <c r="EH26" i="2" s="1"/>
  <c r="ES26" i="2" s="1"/>
  <c r="CU26" i="2"/>
  <c r="DQ26" i="2" s="1"/>
  <c r="EB26" i="2" s="1"/>
  <c r="EM26" i="2" s="1"/>
  <c r="CW26" i="2"/>
  <c r="DS26" i="2" s="1"/>
  <c r="ED26" i="2" s="1"/>
  <c r="EO26" i="2" s="1"/>
  <c r="CY26" i="2"/>
  <c r="DU26" i="2" s="1"/>
  <c r="EF26" i="2" s="1"/>
  <c r="EQ26" i="2" s="1"/>
  <c r="CX17" i="2"/>
  <c r="DT17" i="2" s="1"/>
  <c r="EE17" i="2" s="1"/>
  <c r="EP17" i="2" s="1"/>
  <c r="CW17" i="2"/>
  <c r="DS17" i="2" s="1"/>
  <c r="ED17" i="2" s="1"/>
  <c r="EO17" i="2" s="1"/>
  <c r="CY17" i="2"/>
  <c r="DU17" i="2" s="1"/>
  <c r="EF17" i="2" s="1"/>
  <c r="EQ17" i="2" s="1"/>
  <c r="CU17" i="2"/>
  <c r="DQ17" i="2" s="1"/>
  <c r="EB17" i="2" s="1"/>
  <c r="EM17" i="2" s="1"/>
  <c r="DA17" i="2"/>
  <c r="DW17" i="2" s="1"/>
  <c r="EH17" i="2" s="1"/>
  <c r="ES17" i="2" s="1"/>
  <c r="CZ26" i="2"/>
  <c r="DV26" i="2" s="1"/>
  <c r="EG26" i="2" s="1"/>
  <c r="ER26" i="2" s="1"/>
  <c r="CV24" i="2"/>
  <c r="DR24" i="2" s="1"/>
  <c r="EC24" i="2" s="1"/>
  <c r="EN24" i="2" s="1"/>
  <c r="CX24" i="2"/>
  <c r="DT24" i="2" s="1"/>
  <c r="EE24" i="2" s="1"/>
  <c r="EP24" i="2" s="1"/>
  <c r="CY24" i="2"/>
  <c r="DU24" i="2" s="1"/>
  <c r="EF24" i="2" s="1"/>
  <c r="EQ24" i="2" s="1"/>
  <c r="CZ17" i="2"/>
  <c r="DV17" i="2" s="1"/>
  <c r="EG17" i="2" s="1"/>
  <c r="ER17" i="2" s="1"/>
  <c r="CV17" i="2"/>
  <c r="DR17" i="2" s="1"/>
  <c r="EC17" i="2" s="1"/>
  <c r="EN17" i="2" s="1"/>
  <c r="CZ24" i="2"/>
  <c r="DV24" i="2" s="1"/>
  <c r="EG24" i="2" s="1"/>
  <c r="ER24" i="2" s="1"/>
  <c r="CU24" i="2"/>
  <c r="DQ24" i="2" s="1"/>
  <c r="EB24" i="2" s="1"/>
  <c r="EM24" i="2" s="1"/>
  <c r="BA19" i="37"/>
  <c r="BA9" i="37"/>
  <c r="BA21" i="37"/>
  <c r="BA14" i="37"/>
  <c r="BA13" i="37"/>
  <c r="M4" i="33"/>
  <c r="L4" i="33" s="1"/>
  <c r="BA22" i="37"/>
  <c r="BA8" i="37"/>
  <c r="BA15" i="37"/>
  <c r="BA16" i="37"/>
  <c r="BA6" i="37"/>
  <c r="BA18" i="37"/>
  <c r="BA12" i="37"/>
  <c r="BA7" i="37"/>
  <c r="BA11" i="37"/>
  <c r="BA10" i="37"/>
  <c r="BA20" i="37"/>
  <c r="BA17" i="37"/>
  <c r="BA5" i="37"/>
  <c r="AU10" i="49"/>
  <c r="U10" i="49" s="1"/>
  <c r="S10" i="49"/>
  <c r="S25" i="49" s="1"/>
  <c r="CN26" i="32" l="1"/>
  <c r="CR26" i="32" s="1"/>
  <c r="AF26" i="32" s="1"/>
  <c r="CJ10" i="46"/>
  <c r="CN10" i="46" s="1"/>
  <c r="AD10" i="46" s="1"/>
  <c r="AE7" i="32"/>
  <c r="AC5" i="46"/>
  <c r="CJ5" i="46"/>
  <c r="CN5" i="46" s="1"/>
  <c r="AD5" i="46" s="1"/>
  <c r="CN6" i="32"/>
  <c r="CR6" i="32" s="1"/>
  <c r="AF6" i="32" s="1"/>
  <c r="AC7" i="46"/>
  <c r="AE12" i="32"/>
  <c r="CN16" i="32"/>
  <c r="CR16" i="32" s="1"/>
  <c r="AF16" i="32" s="1"/>
  <c r="CN13" i="32"/>
  <c r="CR13" i="32" s="1"/>
  <c r="AF13" i="32" s="1"/>
  <c r="CN8" i="32"/>
  <c r="CR8" i="32" s="1"/>
  <c r="AF8" i="32" s="1"/>
  <c r="CN17" i="32"/>
  <c r="CR17" i="32" s="1"/>
  <c r="AF17" i="32" s="1"/>
  <c r="AE13" i="32"/>
  <c r="CN9" i="32"/>
  <c r="CR9" i="32" s="1"/>
  <c r="AF9" i="32" s="1"/>
  <c r="CN14" i="32"/>
  <c r="CR14" i="32" s="1"/>
  <c r="AF14" i="32" s="1"/>
  <c r="CN24" i="32"/>
  <c r="CR24" i="32" s="1"/>
  <c r="AF24" i="32" s="1"/>
  <c r="AE11" i="32"/>
  <c r="AE19" i="32"/>
  <c r="CN23" i="32"/>
  <c r="CR23" i="32" s="1"/>
  <c r="AF23" i="32" s="1"/>
  <c r="CN15" i="32"/>
  <c r="CR15" i="32" s="1"/>
  <c r="AF15" i="32" s="1"/>
  <c r="AR38" i="2"/>
  <c r="AE17" i="32"/>
  <c r="AE8" i="32"/>
  <c r="AE9" i="32"/>
  <c r="CN25" i="32"/>
  <c r="CR25" i="32" s="1"/>
  <c r="AF25" i="32" s="1"/>
  <c r="CN12" i="32"/>
  <c r="CR12" i="32" s="1"/>
  <c r="AF12" i="32" s="1"/>
  <c r="AE16" i="32"/>
  <c r="AE22" i="32"/>
  <c r="AE25" i="32"/>
  <c r="AE10" i="32"/>
  <c r="AG10" i="32" s="1"/>
  <c r="AE20" i="32"/>
  <c r="AE18" i="32"/>
  <c r="AE6" i="32"/>
  <c r="CN22" i="32"/>
  <c r="CR22" i="32" s="1"/>
  <c r="AF22" i="32" s="1"/>
  <c r="AE14" i="32"/>
  <c r="Z17" i="46"/>
  <c r="B28" i="50" s="1"/>
  <c r="CJ7" i="46"/>
  <c r="CN7" i="46" s="1"/>
  <c r="AD7" i="46" s="1"/>
  <c r="W12" i="37"/>
  <c r="BD12" i="37"/>
  <c r="BD15" i="37"/>
  <c r="W15" i="37"/>
  <c r="W13" i="37"/>
  <c r="BD13" i="37"/>
  <c r="BD19" i="37"/>
  <c r="W19" i="37"/>
  <c r="DB26" i="2"/>
  <c r="AM26" i="2" s="1"/>
  <c r="DN26" i="2"/>
  <c r="CH8" i="46"/>
  <c r="AB8" i="46" s="1"/>
  <c r="AC8" i="46" s="1"/>
  <c r="CL5" i="32"/>
  <c r="AD5" i="32" s="1"/>
  <c r="C23" i="50" s="1"/>
  <c r="W10" i="37"/>
  <c r="BD10" i="37"/>
  <c r="W18" i="37"/>
  <c r="BD18" i="37"/>
  <c r="BD8" i="37"/>
  <c r="W8" i="37"/>
  <c r="W14" i="37"/>
  <c r="BD14" i="37"/>
  <c r="AC6" i="46"/>
  <c r="AE21" i="32"/>
  <c r="B23" i="50"/>
  <c r="AE5" i="46"/>
  <c r="AE24" i="32"/>
  <c r="AP5" i="41"/>
  <c r="AC10" i="46"/>
  <c r="AE10" i="46" s="1"/>
  <c r="AE23" i="32"/>
  <c r="W20" i="37"/>
  <c r="BD20" i="37"/>
  <c r="BD11" i="37"/>
  <c r="W11" i="37"/>
  <c r="BD6" i="37"/>
  <c r="W6" i="37"/>
  <c r="BD22" i="37"/>
  <c r="W22" i="37"/>
  <c r="W21" i="37"/>
  <c r="BD21" i="37"/>
  <c r="DB17" i="2"/>
  <c r="AM17" i="2" s="1"/>
  <c r="DN17" i="2"/>
  <c r="CJ9" i="46"/>
  <c r="CN9" i="46" s="1"/>
  <c r="AD9" i="46" s="1"/>
  <c r="CH9" i="46"/>
  <c r="AB9" i="46" s="1"/>
  <c r="AC9" i="46" s="1"/>
  <c r="BD5" i="37"/>
  <c r="W5" i="37"/>
  <c r="W17" i="37"/>
  <c r="BD17" i="37"/>
  <c r="BD7" i="37"/>
  <c r="W7" i="37"/>
  <c r="BD16" i="37"/>
  <c r="W16" i="37"/>
  <c r="CS35" i="2"/>
  <c r="BD9" i="37"/>
  <c r="W9" i="37"/>
  <c r="DB24" i="2"/>
  <c r="AM24" i="2" s="1"/>
  <c r="DN24" i="2"/>
  <c r="DO6" i="41"/>
  <c r="DC6" i="41"/>
  <c r="CJ6" i="46"/>
  <c r="CN6" i="46" s="1"/>
  <c r="AD6" i="46" s="1"/>
  <c r="CN19" i="32"/>
  <c r="CR19" i="32" s="1"/>
  <c r="AF19" i="32" s="1"/>
  <c r="CN21" i="32"/>
  <c r="CR21" i="32" s="1"/>
  <c r="AF21" i="32" s="1"/>
  <c r="EK5" i="41"/>
  <c r="EU5" i="41" s="1"/>
  <c r="AQ5" i="41" s="1"/>
  <c r="CJ8" i="46"/>
  <c r="CN8" i="46" s="1"/>
  <c r="AD8" i="46" s="1"/>
  <c r="DY7" i="39"/>
  <c r="EA7" i="39"/>
  <c r="EJ7" i="39" s="1"/>
  <c r="AO7" i="39" s="1"/>
  <c r="CN11" i="32"/>
  <c r="CR11" i="32" s="1"/>
  <c r="AF11" i="32" s="1"/>
  <c r="AE15" i="32"/>
  <c r="CN7" i="32"/>
  <c r="CR7" i="32" s="1"/>
  <c r="AF7" i="32" s="1"/>
  <c r="CN18" i="32"/>
  <c r="CR18" i="32" s="1"/>
  <c r="AF18" i="32" s="1"/>
  <c r="CN20" i="32"/>
  <c r="CR20" i="32" s="1"/>
  <c r="AF20" i="32" s="1"/>
  <c r="CO5" i="32"/>
  <c r="CR5" i="32" s="1"/>
  <c r="AF5" i="32" s="1"/>
  <c r="AE26" i="32"/>
  <c r="AG26" i="32" s="1"/>
  <c r="U25" i="49"/>
  <c r="C29" i="50" s="1"/>
  <c r="AV10" i="49"/>
  <c r="W10" i="49" s="1"/>
  <c r="V10" i="49"/>
  <c r="V25" i="49" s="1"/>
  <c r="B29" i="50"/>
  <c r="AG13" i="32" l="1"/>
  <c r="AG7" i="32"/>
  <c r="AG6" i="32"/>
  <c r="AE9" i="46"/>
  <c r="AG16" i="32"/>
  <c r="AG12" i="32"/>
  <c r="AE7" i="46"/>
  <c r="AG14" i="32"/>
  <c r="AG17" i="32"/>
  <c r="AG11" i="32"/>
  <c r="AG15" i="32"/>
  <c r="AG9" i="32"/>
  <c r="AG8" i="32"/>
  <c r="AG19" i="32"/>
  <c r="AG24" i="32"/>
  <c r="AG23" i="32"/>
  <c r="AG22" i="32"/>
  <c r="AG25" i="32"/>
  <c r="AG20" i="32"/>
  <c r="AG18" i="32"/>
  <c r="B30" i="50"/>
  <c r="CT35" i="2"/>
  <c r="DP35" i="2" s="1"/>
  <c r="EA35" i="2" s="1"/>
  <c r="EL35" i="2" s="1"/>
  <c r="CR35" i="2"/>
  <c r="CZ35" i="2"/>
  <c r="DV35" i="2" s="1"/>
  <c r="EG35" i="2" s="1"/>
  <c r="ER35" i="2" s="1"/>
  <c r="CY35" i="2"/>
  <c r="DU35" i="2" s="1"/>
  <c r="EF35" i="2" s="1"/>
  <c r="EQ35" i="2" s="1"/>
  <c r="DW35" i="2"/>
  <c r="EH35" i="2" s="1"/>
  <c r="ES35" i="2" s="1"/>
  <c r="CW35" i="2"/>
  <c r="DS35" i="2" s="1"/>
  <c r="ED35" i="2" s="1"/>
  <c r="EO35" i="2" s="1"/>
  <c r="CX35" i="2"/>
  <c r="DT35" i="2" s="1"/>
  <c r="EE35" i="2" s="1"/>
  <c r="EP35" i="2" s="1"/>
  <c r="CU35" i="2"/>
  <c r="DQ35" i="2" s="1"/>
  <c r="EB35" i="2" s="1"/>
  <c r="EM35" i="2" s="1"/>
  <c r="CV35" i="2"/>
  <c r="DR35" i="2" s="1"/>
  <c r="EC35" i="2" s="1"/>
  <c r="EN35" i="2" s="1"/>
  <c r="DO35" i="2"/>
  <c r="DZ35" i="2" s="1"/>
  <c r="EK35" i="2" s="1"/>
  <c r="BE7" i="37"/>
  <c r="Y7" i="37" s="1"/>
  <c r="Z7" i="37" s="1"/>
  <c r="BE5" i="37"/>
  <c r="Y5" i="37" s="1"/>
  <c r="Z5" i="37" s="1"/>
  <c r="DY17" i="2"/>
  <c r="EI17" i="2" s="1"/>
  <c r="AO17" i="2" s="1"/>
  <c r="DX17" i="2"/>
  <c r="BE14" i="37"/>
  <c r="Y14" i="37" s="1"/>
  <c r="Z14" i="37" s="1"/>
  <c r="BE18" i="37"/>
  <c r="Y18" i="37" s="1"/>
  <c r="Z18" i="37" s="1"/>
  <c r="AP7" i="39"/>
  <c r="DZ6" i="41"/>
  <c r="EJ6" i="41" s="1"/>
  <c r="DY6" i="41"/>
  <c r="BE9" i="37"/>
  <c r="Y9" i="37" s="1"/>
  <c r="Z9" i="37" s="1"/>
  <c r="BE17" i="37"/>
  <c r="Y17" i="37" s="1"/>
  <c r="Z17" i="37" s="1"/>
  <c r="BE22" i="37"/>
  <c r="Y22" i="37" s="1"/>
  <c r="Z22" i="37" s="1"/>
  <c r="BE11" i="37"/>
  <c r="Y11" i="37" s="1"/>
  <c r="Z11" i="37" s="1"/>
  <c r="AC17" i="46"/>
  <c r="D28" i="50" s="1"/>
  <c r="AG21" i="32"/>
  <c r="BE19" i="37"/>
  <c r="Y19" i="37" s="1"/>
  <c r="Z19" i="37" s="1"/>
  <c r="BE15" i="37"/>
  <c r="Y15" i="37" s="1"/>
  <c r="Z15" i="37" s="1"/>
  <c r="DY24" i="2"/>
  <c r="EI24" i="2" s="1"/>
  <c r="AO24" i="2" s="1"/>
  <c r="AP24" i="2" s="1"/>
  <c r="DX24" i="2"/>
  <c r="BE16" i="37"/>
  <c r="Y16" i="37" s="1"/>
  <c r="Z16" i="37" s="1"/>
  <c r="BE21" i="37"/>
  <c r="Y21" i="37" s="1"/>
  <c r="Z21" i="37" s="1"/>
  <c r="BE20" i="37"/>
  <c r="Y20" i="37" s="1"/>
  <c r="Z20" i="37" s="1"/>
  <c r="AR5" i="41"/>
  <c r="BE10" i="37"/>
  <c r="Y10" i="37" s="1"/>
  <c r="Z10" i="37" s="1"/>
  <c r="AE8" i="46"/>
  <c r="DY26" i="2"/>
  <c r="EI26" i="2" s="1"/>
  <c r="AO26" i="2" s="1"/>
  <c r="AP26" i="2" s="1"/>
  <c r="DX26" i="2"/>
  <c r="BE13" i="37"/>
  <c r="Y13" i="37" s="1"/>
  <c r="Z13" i="37" s="1"/>
  <c r="BE12" i="37"/>
  <c r="Y12" i="37" s="1"/>
  <c r="Z12" i="37" s="1"/>
  <c r="EL7" i="39"/>
  <c r="EU7" i="39" s="1"/>
  <c r="AQ7" i="39" s="1"/>
  <c r="W33" i="37"/>
  <c r="B24" i="50" s="1"/>
  <c r="B25" i="50" s="1"/>
  <c r="AB17" i="46"/>
  <c r="C28" i="50" s="1"/>
  <c r="C30" i="50" s="1"/>
  <c r="BE6" i="37"/>
  <c r="Y6" i="37" s="1"/>
  <c r="Z6" i="37" s="1"/>
  <c r="AE5" i="32"/>
  <c r="AE6" i="46"/>
  <c r="BE8" i="37"/>
  <c r="Y8" i="37" s="1"/>
  <c r="Z8" i="37" s="1"/>
  <c r="X10" i="49"/>
  <c r="D29" i="50"/>
  <c r="AP17" i="2" l="1"/>
  <c r="CS30" i="2"/>
  <c r="CS31" i="2"/>
  <c r="EK6" i="41"/>
  <c r="EU6" i="41" s="1"/>
  <c r="D30" i="50"/>
  <c r="D24" i="50"/>
  <c r="D23" i="50"/>
  <c r="AG5" i="32"/>
  <c r="AR7" i="39"/>
  <c r="BF8" i="37"/>
  <c r="AA8" i="37" s="1"/>
  <c r="AB8" i="37" s="1"/>
  <c r="BF6" i="37"/>
  <c r="AA6" i="37" s="1"/>
  <c r="AB6" i="37" s="1"/>
  <c r="BF12" i="37"/>
  <c r="AA12" i="37" s="1"/>
  <c r="AB12" i="37" s="1"/>
  <c r="EJ26" i="2"/>
  <c r="ET26" i="2" s="1"/>
  <c r="AQ26" i="2" s="1"/>
  <c r="AR26" i="2" s="1"/>
  <c r="BF10" i="37"/>
  <c r="AA10" i="37" s="1"/>
  <c r="AB10" i="37" s="1"/>
  <c r="BF20" i="37"/>
  <c r="AA20" i="37" s="1"/>
  <c r="AB20" i="37" s="1"/>
  <c r="BF16" i="37"/>
  <c r="AA16" i="37" s="1"/>
  <c r="AB16" i="37" s="1"/>
  <c r="EJ24" i="2"/>
  <c r="ET24" i="2" s="1"/>
  <c r="AQ24" i="2" s="1"/>
  <c r="AR24" i="2" s="1"/>
  <c r="BF15" i="37"/>
  <c r="AA15" i="37" s="1"/>
  <c r="AB15" i="37" s="1"/>
  <c r="BF22" i="37"/>
  <c r="AA22" i="37" s="1"/>
  <c r="AB22" i="37" s="1"/>
  <c r="BF17" i="37"/>
  <c r="AA17" i="37" s="1"/>
  <c r="AB17" i="37" s="1"/>
  <c r="BF9" i="37"/>
  <c r="AA9" i="37" s="1"/>
  <c r="AB9" i="37" s="1"/>
  <c r="BF18" i="37"/>
  <c r="AA18" i="37" s="1"/>
  <c r="AB18" i="37" s="1"/>
  <c r="BF5" i="37"/>
  <c r="AA5" i="37" s="1"/>
  <c r="AB5" i="37" s="1"/>
  <c r="DN35" i="2"/>
  <c r="DB35" i="2"/>
  <c r="AM35" i="2" s="1"/>
  <c r="EJ17" i="2"/>
  <c r="ET17" i="2" s="1"/>
  <c r="AQ17" i="2" s="1"/>
  <c r="C24" i="50"/>
  <c r="C25" i="50" s="1"/>
  <c r="BF13" i="37"/>
  <c r="AA13" i="37" s="1"/>
  <c r="AB13" i="37" s="1"/>
  <c r="BF21" i="37"/>
  <c r="AA21" i="37" s="1"/>
  <c r="AB21" i="37" s="1"/>
  <c r="BF19" i="37"/>
  <c r="AA19" i="37" s="1"/>
  <c r="AB19" i="37" s="1"/>
  <c r="BF11" i="37"/>
  <c r="AA11" i="37" s="1"/>
  <c r="AB11" i="37" s="1"/>
  <c r="BF14" i="37"/>
  <c r="AA14" i="37" s="1"/>
  <c r="AB14" i="37" s="1"/>
  <c r="BF7" i="37"/>
  <c r="AA7" i="37" s="1"/>
  <c r="AB7" i="37" s="1"/>
  <c r="CZ10" i="43"/>
  <c r="DV10" i="43" s="1"/>
  <c r="EG10" i="43" s="1"/>
  <c r="ER10" i="43" s="1"/>
  <c r="CY6" i="45"/>
  <c r="DU6" i="45" s="1"/>
  <c r="EF6" i="45" s="1"/>
  <c r="EQ6" i="45" s="1"/>
  <c r="CX10" i="43"/>
  <c r="DT10" i="43" s="1"/>
  <c r="EE10" i="43" s="1"/>
  <c r="EP10" i="43" s="1"/>
  <c r="CV5" i="43"/>
  <c r="DR5" i="43" s="1"/>
  <c r="EC5" i="43" s="1"/>
  <c r="EN5" i="43" s="1"/>
  <c r="CX5" i="43"/>
  <c r="DT5" i="43" s="1"/>
  <c r="EE5" i="43" s="1"/>
  <c r="EP5" i="43" s="1"/>
  <c r="CS6" i="45"/>
  <c r="DC10" i="43"/>
  <c r="AM10" i="43" s="1"/>
  <c r="CW5" i="43"/>
  <c r="DS5" i="43" s="1"/>
  <c r="ED5" i="43" s="1"/>
  <c r="EO5" i="43" s="1"/>
  <c r="CU10" i="43"/>
  <c r="DQ10" i="43" s="1"/>
  <c r="EB10" i="43" s="1"/>
  <c r="EM10" i="43" s="1"/>
  <c r="DB6" i="45"/>
  <c r="DX6" i="45" s="1"/>
  <c r="EI6" i="45" s="1"/>
  <c r="ET6" i="45" s="1"/>
  <c r="CV6" i="45"/>
  <c r="DR6" i="45" s="1"/>
  <c r="EC6" i="45" s="1"/>
  <c r="EN6" i="45" s="1"/>
  <c r="DA10" i="43"/>
  <c r="DW10" i="43" s="1"/>
  <c r="EH10" i="43" s="1"/>
  <c r="ES10" i="43" s="1"/>
  <c r="CY5" i="43"/>
  <c r="DU5" i="43" s="1"/>
  <c r="EF5" i="43" s="1"/>
  <c r="EQ5" i="43" s="1"/>
  <c r="ET9" i="43"/>
  <c r="CT6" i="45"/>
  <c r="DP6" i="45" s="1"/>
  <c r="EA6" i="45" s="1"/>
  <c r="EL6" i="45" s="1"/>
  <c r="CU5" i="43"/>
  <c r="DQ5" i="43" s="1"/>
  <c r="EB5" i="43" s="1"/>
  <c r="EM5" i="43" s="1"/>
  <c r="CX6" i="45"/>
  <c r="DT6" i="45" s="1"/>
  <c r="EE6" i="45" s="1"/>
  <c r="EP6" i="45" s="1"/>
  <c r="CU6" i="45"/>
  <c r="DQ6" i="45" s="1"/>
  <c r="EB6" i="45" s="1"/>
  <c r="EM6" i="45" s="1"/>
  <c r="DB10" i="43"/>
  <c r="DX10" i="43" s="1"/>
  <c r="EI10" i="43" s="1"/>
  <c r="ET10" i="43" s="1"/>
  <c r="CS10" i="43"/>
  <c r="DO10" i="43" s="1"/>
  <c r="CT5" i="43"/>
  <c r="DP5" i="43" s="1"/>
  <c r="EA5" i="43" s="1"/>
  <c r="EL5" i="43" s="1"/>
  <c r="CT10" i="43"/>
  <c r="DP10" i="43" s="1"/>
  <c r="EA10" i="43" s="1"/>
  <c r="EL10" i="43" s="1"/>
  <c r="DB5" i="43"/>
  <c r="DX5" i="43" s="1"/>
  <c r="EI5" i="43" s="1"/>
  <c r="ET5" i="43" s="1"/>
  <c r="CZ6" i="45"/>
  <c r="DV6" i="45" s="1"/>
  <c r="EG6" i="45" s="1"/>
  <c r="ER6" i="45" s="1"/>
  <c r="CW10" i="43"/>
  <c r="DS10" i="43" s="1"/>
  <c r="ED10" i="43" s="1"/>
  <c r="EO10" i="43" s="1"/>
  <c r="CS5" i="43"/>
  <c r="DO5" i="43" s="1"/>
  <c r="CZ5" i="43"/>
  <c r="DV5" i="43" s="1"/>
  <c r="EG5" i="43" s="1"/>
  <c r="ER5" i="43" s="1"/>
  <c r="DA6" i="45"/>
  <c r="DW6" i="45" s="1"/>
  <c r="EH6" i="45" s="1"/>
  <c r="ES6" i="45" s="1"/>
  <c r="CW6" i="45"/>
  <c r="DS6" i="45" s="1"/>
  <c r="ED6" i="45" s="1"/>
  <c r="EO6" i="45" s="1"/>
  <c r="DA5" i="43"/>
  <c r="DW5" i="43" s="1"/>
  <c r="EH5" i="43" s="1"/>
  <c r="ES5" i="43" s="1"/>
  <c r="CV10" i="43"/>
  <c r="DR10" i="43" s="1"/>
  <c r="EC10" i="43" s="1"/>
  <c r="EN10" i="43" s="1"/>
  <c r="ES9" i="43"/>
  <c r="CY10" i="43"/>
  <c r="DU10" i="43" s="1"/>
  <c r="EF10" i="43" s="1"/>
  <c r="EQ10" i="43" s="1"/>
  <c r="DC5" i="43"/>
  <c r="AM5" i="43" s="1"/>
  <c r="CY30" i="2"/>
  <c r="DU30" i="2" s="1"/>
  <c r="EF30" i="2" s="1"/>
  <c r="EQ30" i="2" s="1"/>
  <c r="CR30" i="2"/>
  <c r="CX31" i="2"/>
  <c r="DT31" i="2" s="1"/>
  <c r="EE31" i="2" s="1"/>
  <c r="EP31" i="2" s="1"/>
  <c r="CV30" i="2"/>
  <c r="DR30" i="2" s="1"/>
  <c r="EC30" i="2" s="1"/>
  <c r="EN30" i="2" s="1"/>
  <c r="CR31" i="2"/>
  <c r="CZ31" i="2"/>
  <c r="DV31" i="2" s="1"/>
  <c r="EG31" i="2" s="1"/>
  <c r="ER31" i="2" s="1"/>
  <c r="CV31" i="2"/>
  <c r="DR31" i="2" s="1"/>
  <c r="EC31" i="2" s="1"/>
  <c r="EN31" i="2" s="1"/>
  <c r="CY31" i="2"/>
  <c r="DU31" i="2" s="1"/>
  <c r="EF31" i="2" s="1"/>
  <c r="EQ31" i="2" s="1"/>
  <c r="DA30" i="2"/>
  <c r="DW30" i="2" s="1"/>
  <c r="EH30" i="2" s="1"/>
  <c r="ES30" i="2" s="1"/>
  <c r="CU31" i="2"/>
  <c r="DQ31" i="2" s="1"/>
  <c r="EB31" i="2" s="1"/>
  <c r="EM31" i="2" s="1"/>
  <c r="CX30" i="2"/>
  <c r="DT30" i="2" s="1"/>
  <c r="EE30" i="2" s="1"/>
  <c r="EP30" i="2" s="1"/>
  <c r="CW31" i="2"/>
  <c r="DS31" i="2" s="1"/>
  <c r="ED31" i="2" s="1"/>
  <c r="EO31" i="2" s="1"/>
  <c r="DA31" i="2"/>
  <c r="DW31" i="2" s="1"/>
  <c r="EH31" i="2" s="1"/>
  <c r="ES31" i="2" s="1"/>
  <c r="DO30" i="2"/>
  <c r="DZ30" i="2" s="1"/>
  <c r="EK30" i="2" s="1"/>
  <c r="CW30" i="2"/>
  <c r="DS30" i="2" s="1"/>
  <c r="ED30" i="2" s="1"/>
  <c r="EO30" i="2" s="1"/>
  <c r="CT30" i="2"/>
  <c r="DP30" i="2" s="1"/>
  <c r="EA30" i="2" s="1"/>
  <c r="EL30" i="2" s="1"/>
  <c r="CT31" i="2"/>
  <c r="DP31" i="2" s="1"/>
  <c r="EA31" i="2" s="1"/>
  <c r="EL31" i="2" s="1"/>
  <c r="CU30" i="2"/>
  <c r="DQ30" i="2" s="1"/>
  <c r="EB30" i="2" s="1"/>
  <c r="EM30" i="2" s="1"/>
  <c r="CZ30" i="2"/>
  <c r="DV30" i="2" s="1"/>
  <c r="EG30" i="2" s="1"/>
  <c r="ER30" i="2" s="1"/>
  <c r="DO31" i="2"/>
  <c r="DZ31" i="2" s="1"/>
  <c r="EK31" i="2" s="1"/>
  <c r="BJ6" i="34"/>
  <c r="BV6" i="34" s="1"/>
  <c r="BJ8" i="34"/>
  <c r="BV8" i="34" s="1"/>
  <c r="BJ5" i="34"/>
  <c r="BV5" i="34" s="1"/>
  <c r="BJ7" i="34"/>
  <c r="BV7" i="34" s="1"/>
  <c r="BI12" i="34"/>
  <c r="BJ10" i="34"/>
  <c r="BV10" i="34" s="1"/>
  <c r="BI10" i="34"/>
  <c r="BI7" i="34"/>
  <c r="BI9" i="34"/>
  <c r="BI8" i="34"/>
  <c r="BI6" i="34"/>
  <c r="BJ11" i="34"/>
  <c r="BV11" i="34" s="1"/>
  <c r="BJ12" i="34"/>
  <c r="BV12" i="34" s="1"/>
  <c r="BJ9" i="34"/>
  <c r="BV9" i="34" s="1"/>
  <c r="BI11" i="34"/>
  <c r="BI5" i="34"/>
  <c r="Y25" i="48"/>
  <c r="AQ14" i="48"/>
  <c r="AQ13" i="48"/>
  <c r="AT13" i="48" s="1"/>
  <c r="E36" i="50" l="1"/>
  <c r="BN11" i="34"/>
  <c r="Y11" i="34" s="1"/>
  <c r="BN7" i="34"/>
  <c r="Y7" i="34" s="1"/>
  <c r="BN6" i="34"/>
  <c r="Y6" i="34" s="1"/>
  <c r="BN8" i="34"/>
  <c r="Y8" i="34" s="1"/>
  <c r="BN10" i="34"/>
  <c r="Y10" i="34" s="1"/>
  <c r="CB8" i="34"/>
  <c r="BZ8" i="34"/>
  <c r="DB31" i="2"/>
  <c r="AM31" i="2" s="1"/>
  <c r="DN31" i="2"/>
  <c r="BZ12" i="34"/>
  <c r="CB12" i="34"/>
  <c r="CF12" i="34" s="1"/>
  <c r="AA12" i="34" s="1"/>
  <c r="BN9" i="34"/>
  <c r="Y9" i="34" s="1"/>
  <c r="BN12" i="34"/>
  <c r="Y12" i="34" s="1"/>
  <c r="BZ6" i="34"/>
  <c r="CB6" i="34"/>
  <c r="CF6" i="34" s="1"/>
  <c r="AA6" i="34" s="1"/>
  <c r="BZ9" i="34"/>
  <c r="CB9" i="34"/>
  <c r="CF9" i="34" s="1"/>
  <c r="AA9" i="34" s="1"/>
  <c r="CB10" i="34"/>
  <c r="BZ10" i="34"/>
  <c r="BN5" i="34"/>
  <c r="Y5" i="34" s="1"/>
  <c r="BZ11" i="34"/>
  <c r="CB11" i="34"/>
  <c r="CB7" i="34"/>
  <c r="BZ7" i="34"/>
  <c r="DY35" i="2"/>
  <c r="EI35" i="2" s="1"/>
  <c r="AO35" i="2" s="1"/>
  <c r="DX35" i="2"/>
  <c r="D25" i="50"/>
  <c r="CB5" i="34"/>
  <c r="BZ5" i="34"/>
  <c r="DB30" i="2"/>
  <c r="AM30" i="2" s="1"/>
  <c r="DN30" i="2"/>
  <c r="DZ5" i="43"/>
  <c r="EJ5" i="43" s="1"/>
  <c r="AO5" i="43" s="1"/>
  <c r="DY5" i="43"/>
  <c r="DZ10" i="43"/>
  <c r="DY10" i="43"/>
  <c r="DC6" i="45"/>
  <c r="AM6" i="45" s="1"/>
  <c r="AM50" i="45" s="1"/>
  <c r="DO6" i="45"/>
  <c r="Z25" i="48"/>
  <c r="AU13" i="48"/>
  <c r="U13" i="48" s="1"/>
  <c r="AT14" i="48"/>
  <c r="AP35" i="2" l="1"/>
  <c r="AM50" i="2"/>
  <c r="F36" i="50"/>
  <c r="AB6" i="34"/>
  <c r="AM51" i="2"/>
  <c r="CH6" i="34"/>
  <c r="CL6" i="34" s="1"/>
  <c r="AC6" i="34" s="1"/>
  <c r="AD6" i="34" s="1"/>
  <c r="AB12" i="34"/>
  <c r="EK5" i="43"/>
  <c r="EU5" i="43" s="1"/>
  <c r="AQ5" i="43" s="1"/>
  <c r="EU9" i="43"/>
  <c r="EJ35" i="2"/>
  <c r="ET35" i="2" s="1"/>
  <c r="AQ35" i="2" s="1"/>
  <c r="AR35" i="2" s="1"/>
  <c r="DZ6" i="45"/>
  <c r="EJ6" i="45" s="1"/>
  <c r="AO6" i="45" s="1"/>
  <c r="C18" i="50" s="1"/>
  <c r="DY6" i="45"/>
  <c r="CH11" i="34"/>
  <c r="CL11" i="34" s="1"/>
  <c r="AC11" i="34" s="1"/>
  <c r="CF11" i="34"/>
  <c r="AA11" i="34" s="1"/>
  <c r="AB11" i="34" s="1"/>
  <c r="CH10" i="34"/>
  <c r="CL10" i="34" s="1"/>
  <c r="AC10" i="34" s="1"/>
  <c r="CF10" i="34"/>
  <c r="AA10" i="34" s="1"/>
  <c r="AB10" i="34" s="1"/>
  <c r="DX31" i="2"/>
  <c r="DY31" i="2"/>
  <c r="EI31" i="2" s="1"/>
  <c r="AO31" i="2" s="1"/>
  <c r="AP31" i="2" s="1"/>
  <c r="CH5" i="34"/>
  <c r="CL5" i="34" s="1"/>
  <c r="AC5" i="34" s="1"/>
  <c r="CF5" i="34"/>
  <c r="AA5" i="34" s="1"/>
  <c r="CH9" i="34"/>
  <c r="CL9" i="34" s="1"/>
  <c r="AC9" i="34" s="1"/>
  <c r="EK10" i="43"/>
  <c r="EU10" i="43" s="1"/>
  <c r="AQ10" i="43" s="1"/>
  <c r="EJ10" i="43"/>
  <c r="AO10" i="43" s="1"/>
  <c r="AP10" i="43" s="1"/>
  <c r="DX30" i="2"/>
  <c r="DY30" i="2"/>
  <c r="EI30" i="2" s="1"/>
  <c r="AO30" i="2" s="1"/>
  <c r="C5" i="50" s="1"/>
  <c r="AP5" i="43"/>
  <c r="AB9" i="34"/>
  <c r="CH7" i="34"/>
  <c r="CL7" i="34" s="1"/>
  <c r="AC7" i="34" s="1"/>
  <c r="CF7" i="34"/>
  <c r="AA7" i="34" s="1"/>
  <c r="AB7" i="34" s="1"/>
  <c r="CH12" i="34"/>
  <c r="CL12" i="34" s="1"/>
  <c r="AC12" i="34" s="1"/>
  <c r="CH8" i="34"/>
  <c r="CL8" i="34" s="1"/>
  <c r="AC8" i="34" s="1"/>
  <c r="CF8" i="34"/>
  <c r="AA8" i="34" s="1"/>
  <c r="AB8" i="34" s="1"/>
  <c r="AU14" i="48"/>
  <c r="U14" i="48" s="1"/>
  <c r="V14" i="48" s="1"/>
  <c r="AV13" i="48"/>
  <c r="W13" i="48" s="1"/>
  <c r="S25" i="48"/>
  <c r="B36" i="50" s="1"/>
  <c r="V13" i="48"/>
  <c r="AR10" i="43" l="1"/>
  <c r="B19" i="50"/>
  <c r="B41" i="50" s="1"/>
  <c r="AD12" i="34"/>
  <c r="AD10" i="34"/>
  <c r="EK6" i="45"/>
  <c r="EU6" i="45" s="1"/>
  <c r="AQ6" i="45" s="1"/>
  <c r="AD8" i="34"/>
  <c r="AB5" i="34"/>
  <c r="C34" i="50"/>
  <c r="AR5" i="43"/>
  <c r="AD7" i="34"/>
  <c r="EJ30" i="2"/>
  <c r="ET30" i="2" s="1"/>
  <c r="AQ30" i="2" s="1"/>
  <c r="AP6" i="45"/>
  <c r="D18" i="50" s="1"/>
  <c r="AP30" i="2"/>
  <c r="D5" i="50" s="1"/>
  <c r="AO51" i="2"/>
  <c r="AD9" i="34"/>
  <c r="EJ31" i="2"/>
  <c r="ET31" i="2" s="1"/>
  <c r="AQ31" i="2" s="1"/>
  <c r="AR31" i="2" s="1"/>
  <c r="AD11" i="34"/>
  <c r="AV14" i="48"/>
  <c r="W14" i="48" s="1"/>
  <c r="W25" i="48" s="1"/>
  <c r="U25" i="48"/>
  <c r="C36" i="50" s="1"/>
  <c r="V25" i="48"/>
  <c r="D36" i="50" s="1"/>
  <c r="X13" i="48"/>
  <c r="C19" i="50" l="1"/>
  <c r="C41" i="50" s="1"/>
  <c r="AR30" i="2"/>
  <c r="AR6" i="45"/>
  <c r="D34" i="50"/>
  <c r="AD5" i="34"/>
  <c r="X14" i="48"/>
  <c r="X25" i="48" s="1"/>
  <c r="AR17" i="2" l="1"/>
  <c r="AP51" i="2"/>
  <c r="D19" i="50" s="1"/>
  <c r="D41" i="50" s="1"/>
</calcChain>
</file>

<file path=xl/sharedStrings.xml><?xml version="1.0" encoding="utf-8"?>
<sst xmlns="http://schemas.openxmlformats.org/spreadsheetml/2006/main" count="9886" uniqueCount="1873">
  <si>
    <t>Asset ID</t>
  </si>
  <si>
    <t>Asset Class</t>
  </si>
  <si>
    <t>Asset Type</t>
  </si>
  <si>
    <t>Exterior Wall Cladding</t>
  </si>
  <si>
    <t>Component Type</t>
  </si>
  <si>
    <t>Roofing</t>
  </si>
  <si>
    <t>Services Water</t>
  </si>
  <si>
    <t>Class Code</t>
  </si>
  <si>
    <t>Buildings</t>
  </si>
  <si>
    <t>SR</t>
  </si>
  <si>
    <t>Heavy Duty</t>
  </si>
  <si>
    <t>Standard</t>
  </si>
  <si>
    <t>Flat</t>
  </si>
  <si>
    <t>UR</t>
  </si>
  <si>
    <t>Whole of Asset</t>
  </si>
  <si>
    <t>Foot Paths</t>
  </si>
  <si>
    <t>FP</t>
  </si>
  <si>
    <t>Aviation Infrastructure</t>
  </si>
  <si>
    <t>Navigation Aids</t>
  </si>
  <si>
    <t>Air Strip</t>
  </si>
  <si>
    <t>AS</t>
  </si>
  <si>
    <t>NA</t>
  </si>
  <si>
    <t>SB</t>
  </si>
  <si>
    <t>LF</t>
  </si>
  <si>
    <t>CP</t>
  </si>
  <si>
    <t>SW</t>
  </si>
  <si>
    <t>OE</t>
  </si>
  <si>
    <t>IE</t>
  </si>
  <si>
    <t>TL</t>
  </si>
  <si>
    <t>AT</t>
  </si>
  <si>
    <t>Latitude</t>
  </si>
  <si>
    <t>Longitude</t>
  </si>
  <si>
    <t>Current year</t>
  </si>
  <si>
    <t>Current Year Depreciation</t>
  </si>
  <si>
    <t>Asset name</t>
  </si>
  <si>
    <t>Foundation</t>
  </si>
  <si>
    <t>Structure</t>
  </si>
  <si>
    <t>%</t>
  </si>
  <si>
    <t>Year constructed</t>
  </si>
  <si>
    <t>Maintenance History</t>
  </si>
  <si>
    <t xml:space="preserve">Asset has not been maintained in accordance with the maintenance strategy during most of its service life, which has resulted in major  impairment of asset condition  </t>
  </si>
  <si>
    <t xml:space="preserve">Asset was not  maintained in accordance with the maintenance strategy during most of its service life, which has resulted in total impairment of asset condition and asset is at end of its service life </t>
  </si>
  <si>
    <t xml:space="preserve">Asset design and construction fully meet the functional requirements, conform to the applicable standards and regulations and are the most economically efficient alternative available </t>
  </si>
  <si>
    <t xml:space="preserve">Asset design and construction fully meet the functional requirements, conform to the applicable standards and regulations and represent one of the economically efficient alternative </t>
  </si>
  <si>
    <t xml:space="preserve">Asset design and construction fully meet the functional requirements, conform to the applicable standards and regulations, but other alternatives offering greater  economic efficiency are available  </t>
  </si>
  <si>
    <t xml:space="preserve">Asset design or construction do not meet the full  functional requirements and are not economically efficient, original suppliers no longer manufacture the product   </t>
  </si>
  <si>
    <t xml:space="preserve">Asset design or construction do not meet the full  functional and regulatory requirements and are not economically efficient, original suppliers no longer manufacture spare parts  </t>
  </si>
  <si>
    <t>Physical Condition Ratings</t>
  </si>
  <si>
    <t xml:space="preserve">Asset maintained in accordance with the maintenance strategy throughout its service life, with adequate funding available for maintenance </t>
  </si>
  <si>
    <t xml:space="preserve">Asset maintained in accordance with the maintenance strategy during most of its service life, with adequate funding available for maintenance </t>
  </si>
  <si>
    <t xml:space="preserve">Asset maintained in accordance with the maintenance strategy since last renewal, with adequate funding available for maintenance </t>
  </si>
  <si>
    <t xml:space="preserve">Asset has not been maintained in accordance with the maintenance strategy during most of its service life, which has resulted in significant  impairment of asset condition  </t>
  </si>
  <si>
    <t>Total</t>
  </si>
  <si>
    <t xml:space="preserve"> Physical Condition of Asset Components</t>
  </si>
  <si>
    <t>Rolling</t>
  </si>
  <si>
    <t>Aviation</t>
  </si>
  <si>
    <t>Airstrip</t>
  </si>
  <si>
    <t>Wharf</t>
  </si>
  <si>
    <t>WF</t>
  </si>
  <si>
    <t>Security Fence</t>
  </si>
  <si>
    <t>SF</t>
  </si>
  <si>
    <t xml:space="preserve">Infrastructure </t>
  </si>
  <si>
    <t>Sewage Treatment Plant</t>
  </si>
  <si>
    <t>B</t>
  </si>
  <si>
    <t>Administration</t>
  </si>
  <si>
    <t>Solid Waste Management</t>
  </si>
  <si>
    <t>Coastal Protection</t>
  </si>
  <si>
    <t>Fisheries and Marine resources</t>
  </si>
  <si>
    <t>Traditional</t>
  </si>
  <si>
    <t>Component Sub Type</t>
  </si>
  <si>
    <t>Service Code</t>
  </si>
  <si>
    <t xml:space="preserve">Health </t>
  </si>
  <si>
    <t xml:space="preserve">Education </t>
  </si>
  <si>
    <t>Water Supply</t>
  </si>
  <si>
    <t>Secondary Schools</t>
  </si>
  <si>
    <t>College</t>
  </si>
  <si>
    <t>Infant School</t>
  </si>
  <si>
    <t>School for Disabled</t>
  </si>
  <si>
    <t>Hospital</t>
  </si>
  <si>
    <t xml:space="preserve">General Admin </t>
  </si>
  <si>
    <t>Emergency Services</t>
  </si>
  <si>
    <t>Asset Class + Asset Service + Unique asset ID code</t>
  </si>
  <si>
    <t>Clinic</t>
  </si>
  <si>
    <t>BG</t>
  </si>
  <si>
    <t>Police Services</t>
  </si>
  <si>
    <t>Correctional Services</t>
  </si>
  <si>
    <t>Civic</t>
  </si>
  <si>
    <t>Parliament</t>
  </si>
  <si>
    <t>Town/Community Hall</t>
  </si>
  <si>
    <t>Art Gallery</t>
  </si>
  <si>
    <t>Sports Arenas</t>
  </si>
  <si>
    <t>Library</t>
  </si>
  <si>
    <t>Airport</t>
  </si>
  <si>
    <t>Aviation Equipment Housing</t>
  </si>
  <si>
    <t>Aviation Warehouse &amp; Storage</t>
  </si>
  <si>
    <t>Garage/Storage</t>
  </si>
  <si>
    <t>Aquaculture Development</t>
  </si>
  <si>
    <t>Admin office</t>
  </si>
  <si>
    <t>Warehouse and Storage</t>
  </si>
  <si>
    <t>PA</t>
  </si>
  <si>
    <t>ST</t>
  </si>
  <si>
    <t>IT</t>
  </si>
  <si>
    <t>Basic Design</t>
  </si>
  <si>
    <t>Superior Design</t>
  </si>
  <si>
    <t>Standard Design</t>
  </si>
  <si>
    <t>01. Substructure</t>
  </si>
  <si>
    <t>02. Structure</t>
  </si>
  <si>
    <t>03. Roofing</t>
  </si>
  <si>
    <t>04. Exterior Wall Cladding</t>
  </si>
  <si>
    <t>05. Fitouts</t>
  </si>
  <si>
    <t>10. Services - Water</t>
  </si>
  <si>
    <t>07. Services - Mechanical</t>
  </si>
  <si>
    <t>08. Services - Electrical</t>
  </si>
  <si>
    <t>09. Services - Sanitation</t>
  </si>
  <si>
    <t>01. Substructure:</t>
  </si>
  <si>
    <t>02. Structure:</t>
  </si>
  <si>
    <t>03 Roofing:</t>
  </si>
  <si>
    <t>None</t>
  </si>
  <si>
    <t>05. Fit outs:</t>
  </si>
  <si>
    <t>06. Flooring Covering:</t>
  </si>
  <si>
    <t>06. Floor Covering</t>
  </si>
  <si>
    <t>10. Services Water</t>
  </si>
  <si>
    <t>Foot paths</t>
  </si>
  <si>
    <t>Sealed Roads</t>
  </si>
  <si>
    <t>National highway - Ring Road</t>
  </si>
  <si>
    <t>01. Formation</t>
  </si>
  <si>
    <t>02. Base pavement</t>
  </si>
  <si>
    <t>03. Surface</t>
  </si>
  <si>
    <t>02. Base Pavement</t>
  </si>
  <si>
    <t>Unsealed Roads</t>
  </si>
  <si>
    <t>01 Formation</t>
  </si>
  <si>
    <t>01. Precision Approach Path Indicator (PAPI)</t>
  </si>
  <si>
    <t>02. Runway Edge lighting</t>
  </si>
  <si>
    <t>03. Taxiway edge lighting</t>
  </si>
  <si>
    <t>Asset</t>
  </si>
  <si>
    <t>Soak pit</t>
  </si>
  <si>
    <t>05 No. of Drainage Sumps in Road Section</t>
  </si>
  <si>
    <t>05. Drainage Sumps c/w</t>
  </si>
  <si>
    <t>One</t>
  </si>
  <si>
    <t>Two</t>
  </si>
  <si>
    <t>Interior Access Roads</t>
  </si>
  <si>
    <t>Mining Service Roads</t>
  </si>
  <si>
    <t>Decking</t>
  </si>
  <si>
    <t xml:space="preserve">Commercial Marine Port </t>
  </si>
  <si>
    <t>01.  Pier / Sea wall structure</t>
  </si>
  <si>
    <t>02.  Decking</t>
  </si>
  <si>
    <t>03.  Access Channel</t>
  </si>
  <si>
    <t>04. Mooring Buoys</t>
  </si>
  <si>
    <t>Fisheries and Marine Resources</t>
  </si>
  <si>
    <t>Recreational Boat Harbour</t>
  </si>
  <si>
    <t>Boat Harbour</t>
  </si>
  <si>
    <t>BH</t>
  </si>
  <si>
    <t>Seawalls</t>
  </si>
  <si>
    <t>Auto Repair Garage</t>
  </si>
  <si>
    <t>Sewage Treatment &amp; Disposal</t>
  </si>
  <si>
    <t>WM</t>
  </si>
  <si>
    <t>Land fill site &amp; Recycling</t>
  </si>
  <si>
    <t>Landfill Site</t>
  </si>
  <si>
    <t>RS</t>
  </si>
  <si>
    <t>Information and Communication Technology</t>
  </si>
  <si>
    <t>IC</t>
  </si>
  <si>
    <t>ICT infrastructure</t>
  </si>
  <si>
    <t>ICT antenna towers</t>
  </si>
  <si>
    <t>ICT indoor equipment</t>
  </si>
  <si>
    <t>Substructure</t>
  </si>
  <si>
    <t>Fitouts</t>
  </si>
  <si>
    <t>Floor Covering</t>
  </si>
  <si>
    <t>Service Mechanical</t>
  </si>
  <si>
    <t>Services Electrical</t>
  </si>
  <si>
    <t>Services Sanitation</t>
  </si>
  <si>
    <t>Units of Measurement</t>
  </si>
  <si>
    <t>Floor Area</t>
  </si>
  <si>
    <t>Floor Area (Exterior)</t>
  </si>
  <si>
    <r>
      <t>m</t>
    </r>
    <r>
      <rPr>
        <vertAlign val="superscript"/>
        <sz val="11"/>
        <color theme="1"/>
        <rFont val="Calibri"/>
        <family val="2"/>
        <scheme val="minor"/>
      </rPr>
      <t>2</t>
    </r>
  </si>
  <si>
    <t>Basic</t>
  </si>
  <si>
    <t>Superior</t>
  </si>
  <si>
    <t>Component Makeup</t>
  </si>
  <si>
    <t>Short Life</t>
  </si>
  <si>
    <t>Long Life</t>
  </si>
  <si>
    <t>N/A</t>
  </si>
  <si>
    <t>Building Components</t>
  </si>
  <si>
    <t>Typical Useful Life (TUL) in years</t>
  </si>
  <si>
    <t xml:space="preserve">Surface Area </t>
  </si>
  <si>
    <t>Road Components</t>
  </si>
  <si>
    <t>Steep</t>
  </si>
  <si>
    <t>Base Pavement</t>
  </si>
  <si>
    <t>Light</t>
  </si>
  <si>
    <t>Heavy</t>
  </si>
  <si>
    <t>Inferior</t>
  </si>
  <si>
    <t>Typical Useful Life (TUL) in Years</t>
  </si>
  <si>
    <t>Road Formation (Earthwork)</t>
  </si>
  <si>
    <t xml:space="preserve">Base Pavement </t>
  </si>
  <si>
    <t>Road Surface</t>
  </si>
  <si>
    <t>Road Section Length</t>
  </si>
  <si>
    <t>m</t>
  </si>
  <si>
    <t>Drainage Sumps c/w Soak Pits</t>
  </si>
  <si>
    <t>Quantity per Section</t>
  </si>
  <si>
    <t>#</t>
  </si>
  <si>
    <t xml:space="preserve">One </t>
  </si>
  <si>
    <t>Curb and Gutter</t>
  </si>
  <si>
    <t>One Side</t>
  </si>
  <si>
    <t>Road Formation</t>
  </si>
  <si>
    <t>Drainage Sump c/w Soak Pits</t>
  </si>
  <si>
    <t>Both Side</t>
  </si>
  <si>
    <t>Air Strip Components</t>
  </si>
  <si>
    <t>Air Strip Formation</t>
  </si>
  <si>
    <t>Air Strip Surface</t>
  </si>
  <si>
    <t>Air Strip Formation (Earthwork)</t>
  </si>
  <si>
    <t>Pier / Sea Wall Structure</t>
  </si>
  <si>
    <t>Access Channel</t>
  </si>
  <si>
    <t>Mooring Buoys</t>
  </si>
  <si>
    <t>Standard 2 lane road</t>
  </si>
  <si>
    <t>Standard width unsealed road</t>
  </si>
  <si>
    <t xml:space="preserve">Standard  </t>
  </si>
  <si>
    <t>Only a single asset in the country</t>
  </si>
  <si>
    <t>2. Standard</t>
  </si>
  <si>
    <t>1. Buildings - Components GRC &amp; TUL Assumptions</t>
  </si>
  <si>
    <t>3. Air Strip - Component GRC and TUL Assumptions</t>
  </si>
  <si>
    <t>5.  Miscellaneous Infrastructure Assets for which Standard Depreciation Applies to Whole of Asset</t>
  </si>
  <si>
    <t>Infrastructure Asset</t>
  </si>
  <si>
    <t>Entire Wharf Structure</t>
  </si>
  <si>
    <t>Full Set of Mooring Buoys</t>
  </si>
  <si>
    <t>Estimated Total Cost (GRC) in Australian Dollars</t>
  </si>
  <si>
    <t>Typical Useful Life in Years</t>
  </si>
  <si>
    <t xml:space="preserve">Standard width footpath </t>
  </si>
  <si>
    <t>Foot path</t>
  </si>
  <si>
    <t>Length in m</t>
  </si>
  <si>
    <t>Sea Wall - Steel Reinforced Concrete</t>
  </si>
  <si>
    <t>Masonry Wall of Rock (Std)</t>
  </si>
  <si>
    <t>Masonry Wall of Rock (Superior)</t>
  </si>
  <si>
    <t xml:space="preserve">Rip rap </t>
  </si>
  <si>
    <t>Security Fence (Steel Chain-link)</t>
  </si>
  <si>
    <t>Antenna Towers (Light Duty)</t>
  </si>
  <si>
    <t xml:space="preserve">Antenna Towers (Standard) </t>
  </si>
  <si>
    <t>Antenna Towers (Heavy Duty)</t>
  </si>
  <si>
    <t>Fuel Storage Tanks (Steel)</t>
  </si>
  <si>
    <t>Fuel transport pipes (Steel)</t>
  </si>
  <si>
    <t>Navigation Aids PAPI</t>
  </si>
  <si>
    <t>Navigation Aids - edge lighting</t>
  </si>
  <si>
    <t>Motor Vehicles Light Duty</t>
  </si>
  <si>
    <t>Motor Vehicles Heavy Duty</t>
  </si>
  <si>
    <t>Land fill Site</t>
  </si>
  <si>
    <t>Land fill Sorting Facility</t>
  </si>
  <si>
    <t>Medical Waste Incinerator</t>
  </si>
  <si>
    <t>Boats Sea Worthy ( &gt; 10 m)</t>
  </si>
  <si>
    <t>Boats - Service (&lt; 10 m)</t>
  </si>
  <si>
    <t>Each</t>
  </si>
  <si>
    <t>Set</t>
  </si>
  <si>
    <t>OEM Quoted Price</t>
  </si>
  <si>
    <t>Actual Cost</t>
  </si>
  <si>
    <t xml:space="preserve">Service / Sector </t>
  </si>
  <si>
    <t>System/Category</t>
  </si>
  <si>
    <t xml:space="preserve">Asset Location </t>
  </si>
  <si>
    <t>Asset Component Type</t>
  </si>
  <si>
    <t>Asset Component Subtype</t>
  </si>
  <si>
    <t>Asset Dimensions</t>
  </si>
  <si>
    <t>Unit of Measurement</t>
  </si>
  <si>
    <t>Dimension</t>
  </si>
  <si>
    <t>Asset Rating</t>
  </si>
  <si>
    <t>Asset TUL</t>
  </si>
  <si>
    <t>Actual or Estimated</t>
  </si>
  <si>
    <t>Year Placed in Service</t>
  </si>
  <si>
    <t>Initial Book Value</t>
  </si>
  <si>
    <t>Accumulated Depreciation at the End Of Last Year</t>
  </si>
  <si>
    <t>Book Value at the End of Current Year</t>
  </si>
  <si>
    <t>Gross Replacement Cost</t>
  </si>
  <si>
    <t>Annual Maintenance Funding Needs</t>
  </si>
  <si>
    <t>Financial Information (IAS 16 - Historic Book Value)</t>
  </si>
  <si>
    <t xml:space="preserve">Data for Asset Management Decisions </t>
  </si>
  <si>
    <t>2. Sealed Roads - Component GRC and TUL Assumptions</t>
  </si>
  <si>
    <t>3. Unsealed Roads - Component GRC and TUL Assumptions</t>
  </si>
  <si>
    <t>Single Story Timber Frame</t>
  </si>
  <si>
    <t>Multi-Story Timber Frame with Closed-Under</t>
  </si>
  <si>
    <t>Multi-Story Timber Frame with Open-Under</t>
  </si>
  <si>
    <t>Single Story Masonry/Concrete</t>
  </si>
  <si>
    <t>Multi-Story Masonry/Concrete</t>
  </si>
  <si>
    <t xml:space="preserve">Single Story Combination Masonry/Concrete &amp; Timber Frame </t>
  </si>
  <si>
    <t xml:space="preserve">Multi-Story Combination Masonry/Concrete &amp; Timber Frame </t>
  </si>
  <si>
    <t>Single Story Steel Frame</t>
  </si>
  <si>
    <t>Multi-Story Steel Frame</t>
  </si>
  <si>
    <t>Open Walled Structure with Non-Wooden Pole Frame</t>
  </si>
  <si>
    <t>Open Walled Structure with Wooden Pole Frame (Fale)</t>
  </si>
  <si>
    <t>Uninhabitable or Poor Construction</t>
  </si>
  <si>
    <t>Other Single Story</t>
  </si>
  <si>
    <t>Other Multi-Story</t>
  </si>
  <si>
    <t>8. Single Story Steel Frame</t>
  </si>
  <si>
    <t>NONE</t>
  </si>
  <si>
    <t>COMPLEX/OTHER</t>
  </si>
  <si>
    <t>LOAD BEARING WALL</t>
  </si>
  <si>
    <t>POST</t>
  </si>
  <si>
    <t>POLE</t>
  </si>
  <si>
    <t>SLAB</t>
  </si>
  <si>
    <t>1. Flat</t>
  </si>
  <si>
    <t>2. Rolling</t>
  </si>
  <si>
    <t>3. Hilly</t>
  </si>
  <si>
    <t>1. Heavy Duty</t>
  </si>
  <si>
    <t xml:space="preserve">04.  Curbs and Gutter </t>
  </si>
  <si>
    <t>3. Coral / Poor</t>
  </si>
  <si>
    <t>Data for PCRAFI and Asset Management</t>
  </si>
  <si>
    <t>Number of Stories</t>
  </si>
  <si>
    <t>Construction Class</t>
  </si>
  <si>
    <t>Ground Slope</t>
  </si>
  <si>
    <t>Foundation Bracing Type</t>
  </si>
  <si>
    <t>Roof Shape</t>
  </si>
  <si>
    <t>Roof Pitch</t>
  </si>
  <si>
    <t>Shutter Type</t>
  </si>
  <si>
    <t>Min Floor Height</t>
  </si>
  <si>
    <t>Max Floor Height</t>
  </si>
  <si>
    <t>Plan Shape</t>
  </si>
  <si>
    <t>Tower Presence</t>
  </si>
  <si>
    <t>Balcony Presence</t>
  </si>
  <si>
    <t>Wall Opening</t>
  </si>
  <si>
    <t>Additional PCRAFI DATA</t>
  </si>
  <si>
    <t>Civil Works to protect against Ocean Waves and Soil Erosion</t>
  </si>
  <si>
    <t>Recycling Sorting Facility</t>
  </si>
  <si>
    <t>ICT Outdoor Equipment</t>
  </si>
  <si>
    <t>Hierarchy level 1                       (Service)</t>
  </si>
  <si>
    <t>Hierarchy level 2                       (System/category)</t>
  </si>
  <si>
    <t xml:space="preserve">Hierarchy level 3                       (Asset Class) </t>
  </si>
  <si>
    <t>Hierarchy Level 4                             (Asset Type)</t>
  </si>
  <si>
    <t>Hierarchy Level 5                             (Asset Components)</t>
  </si>
  <si>
    <t>Primary School</t>
  </si>
  <si>
    <t>Fish market</t>
  </si>
  <si>
    <t xml:space="preserve">Community health centre </t>
  </si>
  <si>
    <t>Information and Communications Technology</t>
  </si>
  <si>
    <t>Per Unit Cost (GRC) in Australian Dollars</t>
  </si>
  <si>
    <t>Net Book Value at the Beginning of Year</t>
  </si>
  <si>
    <t>BUILDINGS</t>
  </si>
  <si>
    <t>Column Number</t>
  </si>
  <si>
    <t>Column Name</t>
  </si>
  <si>
    <t>Column Name Abbreviation</t>
  </si>
  <si>
    <t>Data Type</t>
  </si>
  <si>
    <t>Notes</t>
  </si>
  <si>
    <t>Value</t>
  </si>
  <si>
    <t>Exposure ID</t>
  </si>
  <si>
    <t>ExpID</t>
  </si>
  <si>
    <t>Unique ID for the country's exposure database</t>
  </si>
  <si>
    <t>Raw Data ID</t>
  </si>
  <si>
    <t>RawDataID</t>
  </si>
  <si>
    <t>ID from each data source</t>
  </si>
  <si>
    <t>Map to raw data</t>
  </si>
  <si>
    <t>Data Source ID</t>
  </si>
  <si>
    <t>SourceID</t>
  </si>
  <si>
    <t>Type of data source</t>
  </si>
  <si>
    <t>To be discussed if needed</t>
  </si>
  <si>
    <t>Country ID</t>
  </si>
  <si>
    <t>CountryID</t>
  </si>
  <si>
    <t>Country</t>
  </si>
  <si>
    <t>***See MetaData Detail</t>
  </si>
  <si>
    <t>Region1</t>
  </si>
  <si>
    <t>Region (Location) - Resolution 1 (coarsest)</t>
  </si>
  <si>
    <t>ID from Population Database</t>
  </si>
  <si>
    <t>Region2</t>
  </si>
  <si>
    <t>Region (Location) - Resolution 2</t>
  </si>
  <si>
    <t>Region3</t>
  </si>
  <si>
    <t>Region (Location) - Resolution 3</t>
  </si>
  <si>
    <t>Region4</t>
  </si>
  <si>
    <t>Region (Location) - Resolution 4 (finest)</t>
  </si>
  <si>
    <t>Urban_Rural ID</t>
  </si>
  <si>
    <t>UrbanRural</t>
  </si>
  <si>
    <t>Urban/Rural Designation</t>
  </si>
  <si>
    <t>NOT NEEDED</t>
  </si>
  <si>
    <t>Point Location: WGS 84 Longitude</t>
  </si>
  <si>
    <t>Geographic location</t>
  </si>
  <si>
    <t>Number</t>
  </si>
  <si>
    <t>Point Location: WGS 84 Latitude</t>
  </si>
  <si>
    <t>Elevation</t>
  </si>
  <si>
    <t>Elevation in meters</t>
  </si>
  <si>
    <t>Soil Type ID</t>
  </si>
  <si>
    <t>Soil_Type</t>
  </si>
  <si>
    <t>Soil Type</t>
  </si>
  <si>
    <t>Nominal Number of Buildings</t>
  </si>
  <si>
    <t>NumBuildNom</t>
  </si>
  <si>
    <t>Number of unsimulated  buildings at point location</t>
  </si>
  <si>
    <t>FloorArea</t>
  </si>
  <si>
    <t>Floor area in square meters</t>
  </si>
  <si>
    <t>Calculate</t>
  </si>
  <si>
    <t>NumStories</t>
  </si>
  <si>
    <t>Number of stories</t>
  </si>
  <si>
    <t>Count</t>
  </si>
  <si>
    <t>Replacement value</t>
  </si>
  <si>
    <t>Total replacement value of assets at location (2010 USD)</t>
  </si>
  <si>
    <t>To be discussed if this is updated from another database or calculated</t>
  </si>
  <si>
    <t>Occupancy Class ID</t>
  </si>
  <si>
    <t>Occupancy</t>
  </si>
  <si>
    <t>Occupancy Class (use type)</t>
  </si>
  <si>
    <t>Menu</t>
  </si>
  <si>
    <t>Construction Class ID</t>
  </si>
  <si>
    <t>Construc</t>
  </si>
  <si>
    <t>Ground Slope ID</t>
  </si>
  <si>
    <t>GrSlope</t>
  </si>
  <si>
    <t>Defect ID</t>
  </si>
  <si>
    <t>Defect</t>
  </si>
  <si>
    <t>Building Defect</t>
  </si>
  <si>
    <t>Foundation Type ID</t>
  </si>
  <si>
    <t>Foundation Type</t>
  </si>
  <si>
    <t>Foundation Bracing ID</t>
  </si>
  <si>
    <t>FoundBrace</t>
  </si>
  <si>
    <t>Wall Material ID</t>
  </si>
  <si>
    <t>WallMat</t>
  </si>
  <si>
    <t>Wall Material</t>
  </si>
  <si>
    <t>Roof Shape ID</t>
  </si>
  <si>
    <t>RoofShape</t>
  </si>
  <si>
    <t>Roof Pitch ID</t>
  </si>
  <si>
    <t>RoofPitch</t>
  </si>
  <si>
    <t>Roof Material ID</t>
  </si>
  <si>
    <t>RoofMat</t>
  </si>
  <si>
    <t>Roof Material</t>
  </si>
  <si>
    <t>Shutter Type ID</t>
  </si>
  <si>
    <t>Shutter</t>
  </si>
  <si>
    <t>Min Floor Height ID</t>
  </si>
  <si>
    <t>MinFloorH</t>
  </si>
  <si>
    <t>Minimum Floor Height</t>
  </si>
  <si>
    <t>Max Floor Height ID</t>
  </si>
  <si>
    <t>MaxFloorH</t>
  </si>
  <si>
    <t>Maximum Floor Height</t>
  </si>
  <si>
    <t>Plan Shape ID</t>
  </si>
  <si>
    <t>PlanShape</t>
  </si>
  <si>
    <t>Building Plan Shape</t>
  </si>
  <si>
    <t>Tower Presence ID</t>
  </si>
  <si>
    <t>Tower</t>
  </si>
  <si>
    <t>Presence of Tower/Parapet</t>
  </si>
  <si>
    <t>Y/N</t>
  </si>
  <si>
    <t>Balcony Presence ID</t>
  </si>
  <si>
    <t>Balcony</t>
  </si>
  <si>
    <t>Presence of Unsupported Concrete Balcony</t>
  </si>
  <si>
    <t>Wall Opening ID</t>
  </si>
  <si>
    <t>WallOpen</t>
  </si>
  <si>
    <t>Wall Opening Type</t>
  </si>
  <si>
    <t>Simulation ID</t>
  </si>
  <si>
    <t>Simu</t>
  </si>
  <si>
    <t>Detail of Simulation</t>
  </si>
  <si>
    <t>Total Buildings</t>
  </si>
  <si>
    <t>totBuilding</t>
  </si>
  <si>
    <t>Total number of buildings</t>
  </si>
  <si>
    <t>INFRASTRUCTURE</t>
  </si>
  <si>
    <t>Unique ID for the infrastructure exposure database</t>
  </si>
  <si>
    <t>Site elevation in meters</t>
  </si>
  <si>
    <t>InfraType</t>
  </si>
  <si>
    <t>Infrastructure Type</t>
  </si>
  <si>
    <t>TO BE EXPANDED TO INCLUDE MORE DETAILS</t>
  </si>
  <si>
    <t>InfraSubType</t>
  </si>
  <si>
    <t>Infrastructure SubType</t>
  </si>
  <si>
    <t>ID</t>
  </si>
  <si>
    <t>NEHRP compatible soil-type class</t>
  </si>
  <si>
    <t>Areas Covered by Water (or no soil data)</t>
  </si>
  <si>
    <t>A</t>
  </si>
  <si>
    <t>Very Hard Rock</t>
  </si>
  <si>
    <t>AB</t>
  </si>
  <si>
    <t>Hard Rock</t>
  </si>
  <si>
    <t>Firm to Hard Rock</t>
  </si>
  <si>
    <t>BC</t>
  </si>
  <si>
    <t>Firm Rock</t>
  </si>
  <si>
    <t>C</t>
  </si>
  <si>
    <t>Soft to Firm Rock (stiff soil)</t>
  </si>
  <si>
    <t>CD</t>
  </si>
  <si>
    <t>Soft Rock</t>
  </si>
  <si>
    <t>D</t>
  </si>
  <si>
    <t>Stiff Clay and Sandy Soil (firm soil)</t>
  </si>
  <si>
    <t>DE</t>
  </si>
  <si>
    <t>Soft Soil to Firm Soil</t>
  </si>
  <si>
    <t>E</t>
  </si>
  <si>
    <t>Soft Soil (shallow soil, including bay mud, clay and sandy soil)</t>
  </si>
  <si>
    <t>Type</t>
  </si>
  <si>
    <t>CK</t>
  </si>
  <si>
    <t>Cook Island</t>
  </si>
  <si>
    <t>FJ</t>
  </si>
  <si>
    <t>Fiji</t>
  </si>
  <si>
    <t>FM</t>
  </si>
  <si>
    <t>Federated States of Micronesia</t>
  </si>
  <si>
    <t>KI</t>
  </si>
  <si>
    <t>Kiribati</t>
  </si>
  <si>
    <t>MH</t>
  </si>
  <si>
    <t>Marshall Islands</t>
  </si>
  <si>
    <t>NU</t>
  </si>
  <si>
    <t>Niue</t>
  </si>
  <si>
    <t>NR</t>
  </si>
  <si>
    <t>Nauru</t>
  </si>
  <si>
    <t>PG</t>
  </si>
  <si>
    <t>Papua New Guinea</t>
  </si>
  <si>
    <t>PW</t>
  </si>
  <si>
    <t>Palau</t>
  </si>
  <si>
    <t>Solomon Islands</t>
  </si>
  <si>
    <t>Timor Leste</t>
  </si>
  <si>
    <t>TO</t>
  </si>
  <si>
    <t>Tonga</t>
  </si>
  <si>
    <t>TV</t>
  </si>
  <si>
    <t>Tuvalu</t>
  </si>
  <si>
    <t>VU</t>
  </si>
  <si>
    <t>Vanuatu</t>
  </si>
  <si>
    <t>WS</t>
  </si>
  <si>
    <t>ANCIL</t>
  </si>
  <si>
    <t>Building Point from Ancillary Data (AIR SF)</t>
  </si>
  <si>
    <t>AI_P</t>
  </si>
  <si>
    <t>Digitized Building Point - Small Structure (AIR INDIA)</t>
  </si>
  <si>
    <t>AI_P_BA</t>
  </si>
  <si>
    <t>Digitized Building Point with Basic Attributes (AIR INDIA)</t>
  </si>
  <si>
    <t>AI_F</t>
  </si>
  <si>
    <t>Digitized Building Footprint - Large Structure (AIR INDIA)</t>
  </si>
  <si>
    <t>AI_F_BA</t>
  </si>
  <si>
    <t>Digitized Building Footprint with Basic Attributes (AIR INDIA)</t>
  </si>
  <si>
    <t>AI_C</t>
  </si>
  <si>
    <t>Building Cluster (AIR INDIA)</t>
  </si>
  <si>
    <t>AI_R</t>
  </si>
  <si>
    <t>Rural Settlement Cell (AIR INDIA)</t>
  </si>
  <si>
    <t>GS_P</t>
  </si>
  <si>
    <t>Digitized Building Point (GNS/SOPAC)</t>
  </si>
  <si>
    <t>GS_P_BA</t>
  </si>
  <si>
    <t>Digitized Building Point with Basic Attributes (GNS/SOPAC)</t>
  </si>
  <si>
    <t>GS_P_S</t>
  </si>
  <si>
    <t>Digitized Building Point - Surveyed (GNS/SOPAC)</t>
  </si>
  <si>
    <t>GS_F</t>
  </si>
  <si>
    <t>Digitized Building Footprint (GNS/SOPAC)</t>
  </si>
  <si>
    <t>GS_F_BA</t>
  </si>
  <si>
    <t>Digitized Building Footprint with Basic Attributes (GNS/SOPAC)</t>
  </si>
  <si>
    <t>GS_F_S</t>
  </si>
  <si>
    <t>Digitized Building Footprint - Surveyed (GNS/SOPAC)</t>
  </si>
  <si>
    <t>GS_PF</t>
  </si>
  <si>
    <t>Digitized Building Point &amp; Footprint (GNS/SOPAC)</t>
  </si>
  <si>
    <t>GS_PF_BA</t>
  </si>
  <si>
    <t>Digitized Building Point &amp; Footprint with Basic Attributes (GNS/SOPAC)</t>
  </si>
  <si>
    <t>GS_PF_S</t>
  </si>
  <si>
    <t>Digitized Building Point &amp; Footprint - Surveyed (GNS/SOPAC)</t>
  </si>
  <si>
    <t>IC_39</t>
  </si>
  <si>
    <t>Urban Zone - "39 Areas" (ImageCat)</t>
  </si>
  <si>
    <t>IC_R</t>
  </si>
  <si>
    <t>Rural Settlement Cell (ImageCat)</t>
  </si>
  <si>
    <t>IC_C</t>
  </si>
  <si>
    <t>Rural Settlement Centroid (ImageCat)</t>
  </si>
  <si>
    <t>A_P</t>
  </si>
  <si>
    <t>Additional Location from Population Database (AIR SF)</t>
  </si>
  <si>
    <t>SF_R</t>
  </si>
  <si>
    <t>Rural Settlement Cell (AIR SF)</t>
  </si>
  <si>
    <t xml:space="preserve"> Samoa</t>
  </si>
  <si>
    <t>Logic From Survey Data</t>
  </si>
  <si>
    <t>Residential - Permanent dwelling single family</t>
  </si>
  <si>
    <t>"HOUSE"; "FALE"</t>
  </si>
  <si>
    <t>Residential - Permanent dwelling multi family</t>
  </si>
  <si>
    <t>"FLATS"</t>
  </si>
  <si>
    <t>Residential - Out building</t>
  </si>
  <si>
    <t>"OUT BUILDING" use type AND "RESIDENTAL" Occupancy Type</t>
  </si>
  <si>
    <t>Commercial - Accommodation</t>
  </si>
  <si>
    <t>"ACCOMMODATION"</t>
  </si>
  <si>
    <t>Commercial - Gasoline station</t>
  </si>
  <si>
    <t>"PETROL STATION"</t>
  </si>
  <si>
    <t>Commercial - General commercial</t>
  </si>
  <si>
    <r>
      <t xml:space="preserve">"COMMERCIAL"; "MARKET STALL"; </t>
    </r>
    <r>
      <rPr>
        <sz val="11"/>
        <color theme="1"/>
        <rFont val="Calibri"/>
        <family val="2"/>
        <scheme val="minor"/>
      </rPr>
      <t>"CHEMIST"</t>
    </r>
  </si>
  <si>
    <t>Commercial - Out building</t>
  </si>
  <si>
    <t>"OUT BUILDING" use type AND "COMMERCIAL/INDUSTRIAL" Occupancy Type</t>
  </si>
  <si>
    <t>Industrial - Chemical processing</t>
  </si>
  <si>
    <t>"CHEMICAL PLANT"; "CHEMICAL STORE"</t>
  </si>
  <si>
    <t>Industrial - Food and drug processing</t>
  </si>
  <si>
    <t>"FOOD/DRUG MANUFACTURING"</t>
  </si>
  <si>
    <t>Industrial - General industrial</t>
  </si>
  <si>
    <r>
      <t xml:space="preserve">"INDUSTRIAL/MANUFACTURING"; </t>
    </r>
    <r>
      <rPr>
        <sz val="11"/>
        <color theme="1"/>
        <rFont val="Calibri"/>
        <family val="2"/>
        <scheme val="minor"/>
      </rPr>
      <t>"MINING"; "PETROLIUM"</t>
    </r>
  </si>
  <si>
    <t>Public - Education</t>
  </si>
  <si>
    <t>"OTHER EDUCATION"; "PRESCHOOL"; "PRIMARY SCHOOL"; "SECONDARY SCHOOL"; "TERTIARY EDUCATION"</t>
  </si>
  <si>
    <t>Public - Emergency services</t>
  </si>
  <si>
    <t>"FIRE STATION"; "POLICE STATION"</t>
  </si>
  <si>
    <t>Public - General public facility</t>
  </si>
  <si>
    <t>"COMMUNITY FACILITY"; "PUBLIC SEVICES"; "NGO"</t>
  </si>
  <si>
    <t>Public - Government</t>
  </si>
  <si>
    <t>"GOVERNMENT"; "DEFENCE"</t>
  </si>
  <si>
    <t>Public - Health care services</t>
  </si>
  <si>
    <t>"CLINIC"; "HOSPITAL"; "OTHER HEALTH"</t>
  </si>
  <si>
    <t>Public - Religion</t>
  </si>
  <si>
    <t>"RELIGION"</t>
  </si>
  <si>
    <t>Public - Out buildings</t>
  </si>
  <si>
    <t>"OUT BUILDING" use type AND "PUBLIC/COMMUNITY" OR "EDUCATION" OR "HEALTH" Occupancy Type</t>
  </si>
  <si>
    <t>Other - Out building</t>
  </si>
  <si>
    <t>"OUT BUILDING" use type AND NOT "COMMERCIAL/INDUSTRIAL", "RESIDENTIAL", "COMMERCIAL/INDUSTRIAL" Occupancy Type</t>
  </si>
  <si>
    <t>Other</t>
  </si>
  <si>
    <t>"OTHER" occupancy type --- "UNKOWN" use type</t>
  </si>
  <si>
    <t>Infrastructure Buildings</t>
  </si>
  <si>
    <t>"TIMBER FRAME" frame type &amp; 0,1 total number of stories</t>
  </si>
  <si>
    <t>"TIMBER FRAME" frame type &amp; 2+ total number of stories &amp; 0 unoccupied levels</t>
  </si>
  <si>
    <t>"TIMBER FRAME" frame type &amp; 2+ total number of stories &amp; 1+ unoccupied levels</t>
  </si>
  <si>
    <t>"LOAD BEARING WALL", "CONCRETE COLUMN", "TILTUP SLAB" (all permutations) &amp; 0,1 total number of stories</t>
  </si>
  <si>
    <t>"LOAD BEARING WALL", "CONCRETE COLUMN", "TILTUP SLAB" (all permutations) &amp; 2+ total number of stories</t>
  </si>
  <si>
    <t>"LOAD BEARING WALL", "CONCRETE COLUMN", "TILTUP SLAB" &amp; "TIMBER FRAME" (all permutations) &amp; 0,1 total number of stories</t>
  </si>
  <si>
    <t>"LOAD BEARING WALL", "CONCRETE COLUMN", "TILTUP SLAB" &amp; "TIMBER FRAME" (all permutations) &amp; 2+ total number of stories</t>
  </si>
  <si>
    <t>"STEEL COLUMN" frame type &amp; 0,1 total number of stories</t>
  </si>
  <si>
    <t>"STEEL COLUMN" frame type &amp; 2+ total number of stories</t>
  </si>
  <si>
    <t>"NONE" wall material &amp; NOT "WOODEN POLE" frame type (global third)</t>
  </si>
  <si>
    <t>"NONE" wall material &amp; "WOODEN POLE" frame type (global third)</t>
  </si>
  <si>
    <t>"UNINHABITABLE", "POOR CONSTRUCTION" (anywhere in text) defect type (global second)</t>
  </si>
  <si>
    <t>"TRADITIONAL" wall material &amp; "TRADITIONAL" roof material (global first)</t>
  </si>
  <si>
    <t>Others &amp; 1,0 total number of stories</t>
  </si>
  <si>
    <t>Others &amp; 2+ total number of stories</t>
  </si>
  <si>
    <t>FLAT</t>
  </si>
  <si>
    <t>Listed as is (0-5 Degrees)</t>
  </si>
  <si>
    <t>MODERATE</t>
  </si>
  <si>
    <t>Listed as is (6-20 Degrees)</t>
  </si>
  <si>
    <t>STEEP</t>
  </si>
  <si>
    <t>Listed as is (&gt;20 Degrees)</t>
  </si>
  <si>
    <t>MINOR</t>
  </si>
  <si>
    <t>"minor" (anywhere in text) defect type (global second)</t>
  </si>
  <si>
    <t>MAJOR</t>
  </si>
  <si>
    <t>"major" (anywhere in text) defect type (global first) OR UNINHABITABLE/POOR CONSTRUCTION</t>
  </si>
  <si>
    <t>"NONE" OR "UNDER CONSTRUCTION" defect type</t>
  </si>
  <si>
    <t>"NONE" foundation type</t>
  </si>
  <si>
    <t>Others</t>
  </si>
  <si>
    <t>"LOAD BEARING WALL" foundation type</t>
  </si>
  <si>
    <t>"WOODEN/STEEL/CONRETE PILE" foundation type</t>
  </si>
  <si>
    <t>"WOOD/STEEL POLE", "CONCRETE COLUMN", "STEEL COLUMN", "STEEL PIPE" (any permutation) foundation type</t>
  </si>
  <si>
    <t>"SLAB" (anywhere in text) foundation type (global) &amp; (max floor height &lt;0.3m) OR "SLAB" foundation type</t>
  </si>
  <si>
    <t>PARTIAL</t>
  </si>
  <si>
    <t>"PARTIAL" Foundation Bracing</t>
  </si>
  <si>
    <t>YES</t>
  </si>
  <si>
    <t>"NONE" Foundation Bracing</t>
  </si>
  <si>
    <t>TIMBER &amp; MASONRY/CONCRETE</t>
  </si>
  <si>
    <t>"CONCRETE", "MASONRY" &amp; "TIMBER BOARD", "PLYWOOD SHEET" (any permutation)</t>
  </si>
  <si>
    <t>TRADITIONAL</t>
  </si>
  <si>
    <t>Listed as is</t>
  </si>
  <si>
    <t>MASONRY</t>
  </si>
  <si>
    <t>PLYWOOD SHEET</t>
  </si>
  <si>
    <t>TIMBER BOARD</t>
  </si>
  <si>
    <t>FIBRE-CEMENT SHEET</t>
  </si>
  <si>
    <t>METAL SHEET</t>
  </si>
  <si>
    <t>CONCRETE</t>
  </si>
  <si>
    <t>MONOPITCH</t>
  </si>
  <si>
    <t>ARCH</t>
  </si>
  <si>
    <t>GABLE</t>
  </si>
  <si>
    <t>HIP</t>
  </si>
  <si>
    <t>COMPLEX</t>
  </si>
  <si>
    <t>LOW</t>
  </si>
  <si>
    <t>METAL</t>
  </si>
  <si>
    <t>"NONE" OR "PARTIAL" OR "UNKNOWN" (anywhere in text) (global first)</t>
  </si>
  <si>
    <t>GRILL</t>
  </si>
  <si>
    <t>"EXTERIOR GRILL" (anywhere in text) (global second)</t>
  </si>
  <si>
    <t>PRESENT</t>
  </si>
  <si>
    <t>0.0-0.1 M</t>
  </si>
  <si>
    <t>0.2-0.3 M</t>
  </si>
  <si>
    <t>0.4-1.0 M</t>
  </si>
  <si>
    <t>1.1-3.0 M</t>
  </si>
  <si>
    <t>&gt;3.0 M</t>
  </si>
  <si>
    <t>REGULAR</t>
  </si>
  <si>
    <t>L SHAPE</t>
  </si>
  <si>
    <t>C SHAPE</t>
  </si>
  <si>
    <t>IRREGULAR</t>
  </si>
  <si>
    <t>NO</t>
  </si>
  <si>
    <t>&lt;75% OF WALL IS WINDOW</t>
  </si>
  <si>
    <t>WALL HAS NO WINDOWS</t>
  </si>
  <si>
    <t>&gt;75% OF WALL IS WINDOW</t>
  </si>
  <si>
    <t>WALL IS OPEN</t>
  </si>
  <si>
    <t>Description</t>
  </si>
  <si>
    <t>ORIG</t>
  </si>
  <si>
    <t>Original Input Data</t>
  </si>
  <si>
    <t>SPLIT</t>
  </si>
  <si>
    <t>Simulated by splitting up a  location with more than 10 buildings</t>
  </si>
  <si>
    <t>NONRES</t>
  </si>
  <si>
    <t>Simulated when adding non-residential buildings</t>
  </si>
  <si>
    <t>Sanitation Service</t>
  </si>
  <si>
    <t>Mechanical Services</t>
  </si>
  <si>
    <t>Electrical Services</t>
  </si>
  <si>
    <t>Component</t>
  </si>
  <si>
    <t>Weight</t>
  </si>
  <si>
    <t>Max Score</t>
  </si>
  <si>
    <t xml:space="preserve">Max Rating </t>
  </si>
  <si>
    <t>04. Curb and Gutter</t>
  </si>
  <si>
    <t>Commercial Marine Port</t>
  </si>
  <si>
    <t>Condition Rating</t>
  </si>
  <si>
    <t>Asset in “Like-new” condition, with no defects and no impairment; good operating condition, meeting the service level requirements - Only routine maintenance is needed</t>
  </si>
  <si>
    <t>Asset or asset component is in “brand new” condition, with no defects and no impairment; excellent operating condition, meeting or exceeding the service level requirements - Only routine maintenance is needed</t>
  </si>
  <si>
    <t xml:space="preserve">Asset or asset component shows minor age-related wear, with minor defects and/or minor degradation in operating performance; the lower threshold of required service level is still being met </t>
  </si>
  <si>
    <t xml:space="preserve">Asset or asset component has worn out to a stage, where its performance no longer meets acceptable performance level .  However through refurbishment/renewal it is possible to improve asset's performance to acceptable levels </t>
  </si>
  <si>
    <t>Asset or asset component has degraded to a stage that its performance cannot be restored to acceptable levels through renewal and asset must be replaced.</t>
  </si>
  <si>
    <t>Asset or asset component has failed in service or it poses the risk of catastrophic failure in service posing serious public safety risk and must be retired immediately and replaced.</t>
  </si>
  <si>
    <t xml:space="preserve">Asset or Asset Component's Operating Condition </t>
  </si>
  <si>
    <t xml:space="preserve">Asset's Maintenance History </t>
  </si>
  <si>
    <t>Degree of Functional Obsolescence</t>
  </si>
  <si>
    <t>RSP</t>
  </si>
  <si>
    <t>Actual Score/Max Score</t>
  </si>
  <si>
    <t>Footpath Condition</t>
  </si>
  <si>
    <t>Pier / Seawall Condition</t>
  </si>
  <si>
    <t>Decking Condition</t>
  </si>
  <si>
    <t>Approach Channel Condition</t>
  </si>
  <si>
    <t>Mooring Buoys Condition</t>
  </si>
  <si>
    <t>Formation Condition</t>
  </si>
  <si>
    <t>Base Pavement Condition</t>
  </si>
  <si>
    <t>Surface Condition</t>
  </si>
  <si>
    <t>Curb and Gutter Condition</t>
  </si>
  <si>
    <t>Drain Sump and Soak Pit Condition</t>
  </si>
  <si>
    <t>Substructure Condition</t>
  </si>
  <si>
    <t>Roofing Condition</t>
  </si>
  <si>
    <t>Fitouts Condition</t>
  </si>
  <si>
    <t>Actual Rating</t>
  </si>
  <si>
    <t>?</t>
  </si>
  <si>
    <t>Actual Score</t>
  </si>
  <si>
    <t>NAVIGATION AIDS PAPI</t>
  </si>
  <si>
    <t xml:space="preserve">Total </t>
  </si>
  <si>
    <t>4.   - Commercial Port Component GRC and TUL Assumptions</t>
  </si>
  <si>
    <t>Commercial Port Components</t>
  </si>
  <si>
    <t>Pier/Sea Wall</t>
  </si>
  <si>
    <t>NAV AIDS -PAPI Condition</t>
  </si>
  <si>
    <t>NAV AIDS -Edge Lighting  Condition</t>
  </si>
  <si>
    <t>Security Fence  Condition</t>
  </si>
  <si>
    <t>Boat Harbour   Condition</t>
  </si>
  <si>
    <t xml:space="preserve">Coastal Protection Structure Condition </t>
  </si>
  <si>
    <t>Land Fill Site Condition</t>
  </si>
  <si>
    <t>Medical Waste Incinerator Condition</t>
  </si>
  <si>
    <t>Sewage Treatment Plant Condition</t>
  </si>
  <si>
    <t>Motor Vehicle Condition</t>
  </si>
  <si>
    <t>Motor Vehicle Odometer Reading</t>
  </si>
  <si>
    <t>Motor Vehicle Odometer Reading (Operating Hours)</t>
  </si>
  <si>
    <t>Boat Condition</t>
  </si>
  <si>
    <t xml:space="preserve"> Odometer Reading (Operating Hours)</t>
  </si>
  <si>
    <t>Indoor mounted telecom equipment</t>
  </si>
  <si>
    <t>Outdoor mounted telecom equipment</t>
  </si>
  <si>
    <t>Antenna Tower Condition</t>
  </si>
  <si>
    <t>Telecom Equipment Condition</t>
  </si>
  <si>
    <t>Latitude Begin</t>
  </si>
  <si>
    <t>Longitude Begin</t>
  </si>
  <si>
    <t>Latitude End</t>
  </si>
  <si>
    <t>Longitude End</t>
  </si>
  <si>
    <t>Year of Recent Renewal/Rehab</t>
  </si>
  <si>
    <t>Components Renewed</t>
  </si>
  <si>
    <t>Ring Road</t>
  </si>
  <si>
    <t>Sealed Road</t>
  </si>
  <si>
    <t>Anetan</t>
  </si>
  <si>
    <t>Anabar</t>
  </si>
  <si>
    <t>Ijuv</t>
  </si>
  <si>
    <t>Anibare</t>
  </si>
  <si>
    <t>Meneng</t>
  </si>
  <si>
    <t>Yaren</t>
  </si>
  <si>
    <t>Boe</t>
  </si>
  <si>
    <t>Aiwo</t>
  </si>
  <si>
    <t>Deningomodu</t>
  </si>
  <si>
    <t>Nibok</t>
  </si>
  <si>
    <t>Uaboe</t>
  </si>
  <si>
    <t>Ewa</t>
  </si>
  <si>
    <t>S   00.50321</t>
  </si>
  <si>
    <t>E 166.93933</t>
  </si>
  <si>
    <t>S   00.50481</t>
  </si>
  <si>
    <t>E 166.94861</t>
  </si>
  <si>
    <t>Length</t>
  </si>
  <si>
    <t>Average Width</t>
  </si>
  <si>
    <t>S   00.51371</t>
  </si>
  <si>
    <t>E 166.95757</t>
  </si>
  <si>
    <t>S   00.52445</t>
  </si>
  <si>
    <t>E 166.95547</t>
  </si>
  <si>
    <t>S   00.54141</t>
  </si>
  <si>
    <t>E 166.94867</t>
  </si>
  <si>
    <t>S   00.55247</t>
  </si>
  <si>
    <t>E 166.92877</t>
  </si>
  <si>
    <t>S   00.54494</t>
  </si>
  <si>
    <t>E 166.91483</t>
  </si>
  <si>
    <t>S   00.53991</t>
  </si>
  <si>
    <t>E 166.91185</t>
  </si>
  <si>
    <t>S   00.52868</t>
  </si>
  <si>
    <t>E 166.91283</t>
  </si>
  <si>
    <t>S   00.51965</t>
  </si>
  <si>
    <t>E 166.91806</t>
  </si>
  <si>
    <t>S   00.51414</t>
  </si>
  <si>
    <t>E 166.92389</t>
  </si>
  <si>
    <t>S   00.51336</t>
  </si>
  <si>
    <t>E 166.92673</t>
  </si>
  <si>
    <t>Baitsi</t>
  </si>
  <si>
    <t>S   00.50642</t>
  </si>
  <si>
    <t>E 166.93137</t>
  </si>
  <si>
    <t>Component 1 (Formation)</t>
  </si>
  <si>
    <t>Component 2 (Base Pavement)</t>
  </si>
  <si>
    <t>Component 3 (Surface)</t>
  </si>
  <si>
    <t>Component 4 (Curb and Gutter)</t>
  </si>
  <si>
    <t>Buada Access Road</t>
  </si>
  <si>
    <t>Buada Loop</t>
  </si>
  <si>
    <t>Aiwo/Buada</t>
  </si>
  <si>
    <t>S   00.53654</t>
  </si>
  <si>
    <t>E 166.91142</t>
  </si>
  <si>
    <t>S   00.53529</t>
  </si>
  <si>
    <t>E 166.92108</t>
  </si>
  <si>
    <t>Buada</t>
  </si>
  <si>
    <t>Nauru Primary School Access Rd</t>
  </si>
  <si>
    <t>S   00.55252</t>
  </si>
  <si>
    <t>E 166.93507</t>
  </si>
  <si>
    <t>S   00.54684</t>
  </si>
  <si>
    <t>E 166.94029</t>
  </si>
  <si>
    <t>S   00.55151</t>
  </si>
  <si>
    <t>E 166.92499</t>
  </si>
  <si>
    <t>S   00.54046</t>
  </si>
  <si>
    <t>E 166.91190</t>
  </si>
  <si>
    <t>Embassy/Hospital Hill Road</t>
  </si>
  <si>
    <t>Deningomodu / Aiwo</t>
  </si>
  <si>
    <t>S   00.53213</t>
  </si>
  <si>
    <t>E 166.91791</t>
  </si>
  <si>
    <t>S   00.53285</t>
  </si>
  <si>
    <t>E 166.91451</t>
  </si>
  <si>
    <t>Hospital Hill Access Road</t>
  </si>
  <si>
    <t>S   00.52446</t>
  </si>
  <si>
    <t>E 166.91454</t>
  </si>
  <si>
    <t>S   00.52668</t>
  </si>
  <si>
    <t>E 166.91484</t>
  </si>
  <si>
    <t>Embassy Hill Access Road</t>
  </si>
  <si>
    <t>S   00.52839</t>
  </si>
  <si>
    <t>S   00.53222</t>
  </si>
  <si>
    <t>E 166.91196</t>
  </si>
  <si>
    <t>E 166.91469</t>
  </si>
  <si>
    <t>Boe School Road</t>
  </si>
  <si>
    <t>S   00.53994</t>
  </si>
  <si>
    <t>E 166.91222</t>
  </si>
  <si>
    <t>Estimated</t>
  </si>
  <si>
    <t xml:space="preserve">Surface </t>
  </si>
  <si>
    <t>Construction Costs</t>
  </si>
  <si>
    <t>Year</t>
  </si>
  <si>
    <t>Boats</t>
  </si>
  <si>
    <t>Annual mean Inflation (Tuvalu Data place holder only - get actual data for Nauru from GON - Treasury Dept)</t>
  </si>
  <si>
    <t>Simpson Rd. - Yaren End</t>
  </si>
  <si>
    <t>Simpson Rd. - Boe End</t>
  </si>
  <si>
    <t>Nauru Secondary School</t>
  </si>
  <si>
    <t xml:space="preserve">Calculations: </t>
  </si>
  <si>
    <t>Formation</t>
  </si>
  <si>
    <t>Base</t>
  </si>
  <si>
    <t>Surface</t>
  </si>
  <si>
    <t>Curb &amp; Gutter</t>
  </si>
  <si>
    <t xml:space="preserve"> Both Side </t>
  </si>
  <si>
    <t>Drainage Sumps c/w soak pits</t>
  </si>
  <si>
    <t>GRC</t>
  </si>
  <si>
    <t xml:space="preserve">Superior </t>
  </si>
  <si>
    <t xml:space="preserve">Standard </t>
  </si>
  <si>
    <t xml:space="preserve">Inferior </t>
  </si>
  <si>
    <t>Light Duty</t>
  </si>
  <si>
    <t>Sump &amp; Soak Pits</t>
  </si>
  <si>
    <t>Component 5 (No. of Sump &amp; soak pits)</t>
  </si>
  <si>
    <t>Total GRC</t>
  </si>
  <si>
    <t>Total IBV</t>
  </si>
  <si>
    <t>TUL</t>
  </si>
  <si>
    <t>Accum Dep</t>
  </si>
  <si>
    <t>Annual Dep</t>
  </si>
  <si>
    <t>Initial Investment</t>
  </si>
  <si>
    <t xml:space="preserve">Renewals </t>
  </si>
  <si>
    <t>Investment</t>
  </si>
  <si>
    <t>Years since in Service @end of prev year</t>
  </si>
  <si>
    <t>years in service since renewal year</t>
  </si>
  <si>
    <t>Current year Dep</t>
  </si>
  <si>
    <t>Current Year Dep</t>
  </si>
  <si>
    <t>Sealed Roads (Surface, Curb&amp;Gutter, Sumps and Soak pits</t>
  </si>
  <si>
    <t>Runway</t>
  </si>
  <si>
    <t>Vehicles light duty</t>
  </si>
  <si>
    <t>Vehicles heavy duty</t>
  </si>
  <si>
    <t>Solid Waste</t>
  </si>
  <si>
    <t>Sewage Waste</t>
  </si>
  <si>
    <t>Miscel Assets</t>
  </si>
  <si>
    <t>Land Fill Site Access Road</t>
  </si>
  <si>
    <t>Unsealed Road</t>
  </si>
  <si>
    <t>S   00.53863</t>
  </si>
  <si>
    <t>E 166.91663</t>
  </si>
  <si>
    <t>S   00.54469</t>
  </si>
  <si>
    <t>E 166.92061</t>
  </si>
  <si>
    <t>Aiwo / Boe</t>
  </si>
  <si>
    <t>Boe / Yaren</t>
  </si>
  <si>
    <t>S   00.54092</t>
  </si>
  <si>
    <t>E 166.93217</t>
  </si>
  <si>
    <t>Yaren / Meneng</t>
  </si>
  <si>
    <t>S   00.52681</t>
  </si>
  <si>
    <t>E 166.93803</t>
  </si>
  <si>
    <t xml:space="preserve">Intersection A to Mining Stockpile </t>
  </si>
  <si>
    <t xml:space="preserve">RPC Camp 1 to Intersection A </t>
  </si>
  <si>
    <t>S   00.51307</t>
  </si>
  <si>
    <t>E 166.93942</t>
  </si>
  <si>
    <t>Fork Between RPC2 and RPC3 to RPC2</t>
  </si>
  <si>
    <t>S   00.52083</t>
  </si>
  <si>
    <t>E 166.94597</t>
  </si>
  <si>
    <t>Mining Stockpile to Fork Between RPC3 and RPC2</t>
  </si>
  <si>
    <t>S   00.52289</t>
  </si>
  <si>
    <t>E 166.94012</t>
  </si>
  <si>
    <t>Fork Between RPC2 and RPC 3 to  RPC 3</t>
  </si>
  <si>
    <t xml:space="preserve">Landfill site to RPC1 </t>
  </si>
  <si>
    <t>S   00.53063</t>
  </si>
  <si>
    <t>E 166.93762</t>
  </si>
  <si>
    <t xml:space="preserve">Intersection A to Ring Road in Meneng  </t>
  </si>
  <si>
    <t>S  00.53063</t>
  </si>
  <si>
    <t>S   00.54294</t>
  </si>
  <si>
    <t>E 166.94875</t>
  </si>
  <si>
    <t>Footpath</t>
  </si>
  <si>
    <t>Whole Asset</t>
  </si>
  <si>
    <t>Footpath TUL</t>
  </si>
  <si>
    <t>Boe Infant School</t>
  </si>
  <si>
    <t>Anetan Infant School</t>
  </si>
  <si>
    <t>Nibok Infant School</t>
  </si>
  <si>
    <t>Technical Vocational Education Training  (TVET)</t>
  </si>
  <si>
    <t>EWA</t>
  </si>
  <si>
    <t>S 0.54766</t>
  </si>
  <si>
    <t>E166.93942</t>
  </si>
  <si>
    <t>S 0.54743</t>
  </si>
  <si>
    <t>E166.93929</t>
  </si>
  <si>
    <t>S 0.54754</t>
  </si>
  <si>
    <t>E166.93921</t>
  </si>
  <si>
    <t>S 0.54779</t>
  </si>
  <si>
    <t>S 0.54780</t>
  </si>
  <si>
    <t>E166.93973</t>
  </si>
  <si>
    <t>S 0.54638</t>
  </si>
  <si>
    <t>S 0.55154</t>
  </si>
  <si>
    <t>E 166.93849</t>
  </si>
  <si>
    <t>S 0.55153</t>
  </si>
  <si>
    <t>E 166.93852</t>
  </si>
  <si>
    <t>S 0.54768</t>
  </si>
  <si>
    <t>E 166.91785</t>
  </si>
  <si>
    <t>S 0.53958</t>
  </si>
  <si>
    <t>E 166.91367</t>
  </si>
  <si>
    <t>S 0.50392</t>
  </si>
  <si>
    <t>E 166.94342</t>
  </si>
  <si>
    <t>S 0.50358</t>
  </si>
  <si>
    <t>E 166.94345</t>
  </si>
  <si>
    <t>S 0.50369</t>
  </si>
  <si>
    <t>E 166.94330</t>
  </si>
  <si>
    <t>S 0.50544</t>
  </si>
  <si>
    <t>E 166.93199</t>
  </si>
  <si>
    <t>S 0.50538</t>
  </si>
  <si>
    <t>E 166.93190</t>
  </si>
  <si>
    <t>S 0.50560</t>
  </si>
  <si>
    <t>E 166.93173</t>
  </si>
  <si>
    <t>S 0.50570</t>
  </si>
  <si>
    <t>E 166.93161</t>
  </si>
  <si>
    <t>S 0.50572</t>
  </si>
  <si>
    <t>S 0.50573</t>
  </si>
  <si>
    <t>E 166.93192</t>
  </si>
  <si>
    <t>S 0.51597</t>
  </si>
  <si>
    <t>E 166.92267</t>
  </si>
  <si>
    <t>S 0.51616</t>
  </si>
  <si>
    <t>E 166.92281</t>
  </si>
  <si>
    <t>S 0.52239</t>
  </si>
  <si>
    <t>E 166.91473</t>
  </si>
  <si>
    <t>S 0.52240</t>
  </si>
  <si>
    <t>E 166.91452</t>
  </si>
  <si>
    <t>S 0.54600</t>
  </si>
  <si>
    <t>E 166.91551</t>
  </si>
  <si>
    <t>S 0.54650</t>
  </si>
  <si>
    <t>E 166.91534</t>
  </si>
  <si>
    <t>S 0.54642</t>
  </si>
  <si>
    <t>E 166.91566</t>
  </si>
  <si>
    <t>S 0.54626</t>
  </si>
  <si>
    <t>E 166.91524</t>
  </si>
  <si>
    <t>E 166.91501</t>
  </si>
  <si>
    <t>S 0.54500</t>
  </si>
  <si>
    <t>E 166.91510</t>
  </si>
  <si>
    <t>01 Substructure</t>
  </si>
  <si>
    <t>02 Structure</t>
  </si>
  <si>
    <t>03 Roofing</t>
  </si>
  <si>
    <t>04 Exterior Wall</t>
  </si>
  <si>
    <t>05 Fitouts</t>
  </si>
  <si>
    <t>Court House</t>
  </si>
  <si>
    <t>Govt Administration Office Building</t>
  </si>
  <si>
    <t xml:space="preserve">Fire Hall </t>
  </si>
  <si>
    <t>Two-Story Timber Frame with Closed-Under</t>
  </si>
  <si>
    <t>Two-Story Timber Frame with Open-Under</t>
  </si>
  <si>
    <t>Two -Story Masonry/Concrete</t>
  </si>
  <si>
    <t xml:space="preserve">Two-Story Combination Masonry/Concrete &amp; Timber Frame </t>
  </si>
  <si>
    <t>Two-Story Steel Frame</t>
  </si>
  <si>
    <t>Other Two-Story</t>
  </si>
  <si>
    <t xml:space="preserve">Single Story Portable Trailer </t>
  </si>
  <si>
    <t>Ceiling fans (basic)</t>
  </si>
  <si>
    <t>other</t>
  </si>
  <si>
    <t>Mains Only (Basic)</t>
  </si>
  <si>
    <t>Mains with Generator backup (Superior)</t>
  </si>
  <si>
    <t>Generator only (Basic)</t>
  </si>
  <si>
    <t>Composting (Superior)</t>
  </si>
  <si>
    <t>S 0.54603</t>
  </si>
  <si>
    <t>E166.91632</t>
  </si>
  <si>
    <t>Roof</t>
  </si>
  <si>
    <t>Yes</t>
  </si>
  <si>
    <t>Gable</t>
  </si>
  <si>
    <t>Moderate</t>
  </si>
  <si>
    <t>&gt;3m</t>
  </si>
  <si>
    <t>Regular</t>
  </si>
  <si>
    <t>No</t>
  </si>
  <si>
    <t>&lt;75%</t>
  </si>
  <si>
    <t>S 0.54553</t>
  </si>
  <si>
    <t>E 166.91507</t>
  </si>
  <si>
    <t>S 0.54734</t>
  </si>
  <si>
    <t>E 166.91676</t>
  </si>
  <si>
    <t>Roof/Floor/Fitouts</t>
  </si>
  <si>
    <t>Jail House - Two story building</t>
  </si>
  <si>
    <t>Jail House - One story building</t>
  </si>
  <si>
    <t>Jail House - Admin Building</t>
  </si>
  <si>
    <t>Complex</t>
  </si>
  <si>
    <t>E 166.91728</t>
  </si>
  <si>
    <t>S  0.54733</t>
  </si>
  <si>
    <t>E 166.91759</t>
  </si>
  <si>
    <t>L-shaped</t>
  </si>
  <si>
    <t>Jail House on Hill top</t>
  </si>
  <si>
    <t>S 0.54534</t>
  </si>
  <si>
    <t>E166.91484</t>
  </si>
  <si>
    <t>Actual</t>
  </si>
  <si>
    <t>&gt;75%</t>
  </si>
  <si>
    <t>S 0.54517</t>
  </si>
  <si>
    <t>Entire Building</t>
  </si>
  <si>
    <t>S 0.53901</t>
  </si>
  <si>
    <t>E166.91177</t>
  </si>
  <si>
    <t>Home Affairs</t>
  </si>
  <si>
    <t>S 0.54676</t>
  </si>
  <si>
    <t>E166.94064</t>
  </si>
  <si>
    <t>S 0.54647</t>
  </si>
  <si>
    <t>E166.94040</t>
  </si>
  <si>
    <t>S 0.54716</t>
  </si>
  <si>
    <t>E 166.94057</t>
  </si>
  <si>
    <t>Survey Office</t>
  </si>
  <si>
    <t>S 0.54690</t>
  </si>
  <si>
    <t>E 166.94049</t>
  </si>
  <si>
    <t xml:space="preserve">Single Story Timber  Frame </t>
  </si>
  <si>
    <t>S 0.54683</t>
  </si>
  <si>
    <t>E 166.94028</t>
  </si>
  <si>
    <t>Youth Affairs Services</t>
  </si>
  <si>
    <t xml:space="preserve"> Single Story Timber Frame</t>
  </si>
  <si>
    <t>S 0.54696</t>
  </si>
  <si>
    <t>E 166.94008</t>
  </si>
  <si>
    <t>Domestic Violence Shelter</t>
  </si>
  <si>
    <t>Tourism Office</t>
  </si>
  <si>
    <t>Uboe</t>
  </si>
  <si>
    <t>S  0.51394</t>
  </si>
  <si>
    <t>E 166.92424</t>
  </si>
  <si>
    <t>S  0.53555</t>
  </si>
  <si>
    <t>E 166.94212</t>
  </si>
  <si>
    <t>Court House (new)</t>
  </si>
  <si>
    <t>S  0.54700</t>
  </si>
  <si>
    <t>E 166.91653</t>
  </si>
  <si>
    <t>Low</t>
  </si>
  <si>
    <t>&gt;3 m</t>
  </si>
  <si>
    <t>&gt; 3 m</t>
  </si>
  <si>
    <t xml:space="preserve">Superior Design </t>
  </si>
  <si>
    <t>S 0.54733</t>
  </si>
  <si>
    <t>E166.91640</t>
  </si>
  <si>
    <t>Total AD</t>
  </si>
  <si>
    <t>Investment Amount</t>
  </si>
  <si>
    <t>Average TUL of Renewed Components</t>
  </si>
  <si>
    <t>Annual Depreciation</t>
  </si>
  <si>
    <t>Accumulated Depreciation</t>
  </si>
  <si>
    <t>Year of Renewal</t>
  </si>
  <si>
    <t>Year in Service Since Renewal</t>
  </si>
  <si>
    <t>Years since in service at the end of last year</t>
  </si>
  <si>
    <t xml:space="preserve">Roof, Floor, Services </t>
  </si>
  <si>
    <t>low</t>
  </si>
  <si>
    <t>Nauru Primary School  - Portable trailer type - 1 class room</t>
  </si>
  <si>
    <t>Nauru Primary School  - Portable trailer type - 3 class room</t>
  </si>
  <si>
    <t>Nauru Primary School - ATCO trailers used as toilet block</t>
  </si>
  <si>
    <t>Nauru Primary School - trailer originally for RPC - Principals office and computer room</t>
  </si>
  <si>
    <t>School for Disabled Students - Portables from RPC</t>
  </si>
  <si>
    <t>Hip</t>
  </si>
  <si>
    <t>Yaren public School - 1 story Timber Frame</t>
  </si>
  <si>
    <t>Yaren public School - toilet block</t>
  </si>
  <si>
    <t>Boe Infant School - two rows of classrooms with verandah in the middle</t>
  </si>
  <si>
    <t>Anetan Infant School - Principal office computer room</t>
  </si>
  <si>
    <t xml:space="preserve">COMPLEX/OTHER </t>
  </si>
  <si>
    <t xml:space="preserve">LOAD BEARING WALL </t>
  </si>
  <si>
    <t xml:space="preserve">Concrete Pillars </t>
  </si>
  <si>
    <t xml:space="preserve">Steel Pillars </t>
  </si>
  <si>
    <t xml:space="preserve">Conc. SLAB </t>
  </si>
  <si>
    <t xml:space="preserve">Concrete or masonry </t>
  </si>
  <si>
    <t xml:space="preserve">Timber </t>
  </si>
  <si>
    <t xml:space="preserve">Concrete and Timber </t>
  </si>
  <si>
    <t xml:space="preserve">Steel </t>
  </si>
  <si>
    <t xml:space="preserve">Steel and Timber </t>
  </si>
  <si>
    <t xml:space="preserve">Canvas with Steel posts </t>
  </si>
  <si>
    <t xml:space="preserve">Posts Only </t>
  </si>
  <si>
    <t xml:space="preserve">Asbestos </t>
  </si>
  <si>
    <t xml:space="preserve">Concrete </t>
  </si>
  <si>
    <t xml:space="preserve">Galvanized Iron Sheeting </t>
  </si>
  <si>
    <t xml:space="preserve">Superior metal painted sheet </t>
  </si>
  <si>
    <t xml:space="preserve">Tiles </t>
  </si>
  <si>
    <t xml:space="preserve">Asphalt shingles </t>
  </si>
  <si>
    <t xml:space="preserve">Concrete or masonry walls </t>
  </si>
  <si>
    <t xml:space="preserve">Fibrous cement board </t>
  </si>
  <si>
    <t xml:space="preserve">Galvanized iron sheeting </t>
  </si>
  <si>
    <t xml:space="preserve">Painted Steel or Aluminium siding </t>
  </si>
  <si>
    <t xml:space="preserve">Vinyl Siding </t>
  </si>
  <si>
    <t xml:space="preserve">Timber siding  </t>
  </si>
  <si>
    <t xml:space="preserve">High Quality Metal Cladding </t>
  </si>
  <si>
    <t xml:space="preserve">Basic Partitions </t>
  </si>
  <si>
    <t xml:space="preserve">Fibrous Cement </t>
  </si>
  <si>
    <t xml:space="preserve">Hardboard/Timber </t>
  </si>
  <si>
    <t xml:space="preserve">Plasterboard/Gyprock </t>
  </si>
  <si>
    <t xml:space="preserve">Carpet </t>
  </si>
  <si>
    <t xml:space="preserve">Timber  </t>
  </si>
  <si>
    <t xml:space="preserve">Vinyl </t>
  </si>
  <si>
    <t xml:space="preserve">Epoxy Coated </t>
  </si>
  <si>
    <t xml:space="preserve">Engineered wood </t>
  </si>
  <si>
    <t xml:space="preserve">Ducted Air-Conditioning </t>
  </si>
  <si>
    <t xml:space="preserve">Evaporative Cooler </t>
  </si>
  <si>
    <t xml:space="preserve">Split System Air Conditioners </t>
  </si>
  <si>
    <t>Wall Air Conditioners</t>
  </si>
  <si>
    <t xml:space="preserve">Ceiling fans </t>
  </si>
  <si>
    <t xml:space="preserve">Mains Only </t>
  </si>
  <si>
    <t xml:space="preserve">Mains with Solar Support for &gt;30% load </t>
  </si>
  <si>
    <t xml:space="preserve">Mains with Generator backup </t>
  </si>
  <si>
    <t xml:space="preserve">Solar - Stand Alone </t>
  </si>
  <si>
    <t>Generator only</t>
  </si>
  <si>
    <t xml:space="preserve">Cess pit </t>
  </si>
  <si>
    <t xml:space="preserve">Two compartment septic tank </t>
  </si>
  <si>
    <t xml:space="preserve">Composting </t>
  </si>
  <si>
    <t>Above Grade water tank</t>
  </si>
  <si>
    <t xml:space="preserve">Above grade water tank with rain harvesting </t>
  </si>
  <si>
    <t xml:space="preserve">Below grade water tank </t>
  </si>
  <si>
    <t xml:space="preserve">Below grade water tank with rain harvesting </t>
  </si>
  <si>
    <t>Kaiser College - one story</t>
  </si>
  <si>
    <t>Kaiser College - Assembly Area</t>
  </si>
  <si>
    <t>Kaiser College - 6 Class Rooms</t>
  </si>
  <si>
    <t>Nauru College Science Lab</t>
  </si>
  <si>
    <t>Nauru College - Joinery Shop</t>
  </si>
  <si>
    <t>Technical Vocational Education Training  (TVET) - Automation</t>
  </si>
  <si>
    <t>Government Motor Vehicle Repair Garage</t>
  </si>
  <si>
    <t>Government Warehouse</t>
  </si>
  <si>
    <t>Land Records Committee Office</t>
  </si>
  <si>
    <t>–4.6</t>
  </si>
  <si>
    <t>–0.8</t>
  </si>
  <si>
    <t>–2.1</t>
  </si>
  <si>
    <t>Sports Complex</t>
  </si>
  <si>
    <t>S 0.54693</t>
  </si>
  <si>
    <t>E 166.91713</t>
  </si>
  <si>
    <t>ICT Admin Office</t>
  </si>
  <si>
    <t xml:space="preserve">Actual </t>
  </si>
  <si>
    <t>Aquaculture lab</t>
  </si>
  <si>
    <t>Aquaculture holding facility</t>
  </si>
  <si>
    <t>Admin Office</t>
  </si>
  <si>
    <t>S 0.53672</t>
  </si>
  <si>
    <t>E166.94971</t>
  </si>
  <si>
    <t>S 0.53686</t>
  </si>
  <si>
    <t>E 166.94994</t>
  </si>
  <si>
    <t>S 0.53659</t>
  </si>
  <si>
    <t>E 166.94975</t>
  </si>
  <si>
    <t>S 0.53631</t>
  </si>
  <si>
    <t>E 166.95032</t>
  </si>
  <si>
    <t>mono pitch</t>
  </si>
  <si>
    <t xml:space="preserve">Airport </t>
  </si>
  <si>
    <t>VIP Departure Lounge</t>
  </si>
  <si>
    <t>NAV-AID Equipment housing</t>
  </si>
  <si>
    <t>S 0.54491</t>
  </si>
  <si>
    <t>S 0.54477</t>
  </si>
  <si>
    <t>E166.91745</t>
  </si>
  <si>
    <t>E 166.91730</t>
  </si>
  <si>
    <t>S 0.54306</t>
  </si>
  <si>
    <t>E 166.91843</t>
  </si>
  <si>
    <t>Old Buildings at Hospital</t>
  </si>
  <si>
    <t>Nauru Public Health Building</t>
  </si>
  <si>
    <t>S 0.52434</t>
  </si>
  <si>
    <t>E 166.91464</t>
  </si>
  <si>
    <t>S 0.52447</t>
  </si>
  <si>
    <t>E 166.91467</t>
  </si>
  <si>
    <t>S 0.52406</t>
  </si>
  <si>
    <t>E 166.95026</t>
  </si>
  <si>
    <t>S 0.53587</t>
  </si>
  <si>
    <t>S 0.51994</t>
  </si>
  <si>
    <t>S 0.54528</t>
  </si>
  <si>
    <t>E 166.91516</t>
  </si>
  <si>
    <t>S 0.52021</t>
  </si>
  <si>
    <t>E 166.91690</t>
  </si>
  <si>
    <t>Dental Clinic - Portable Trailer</t>
  </si>
  <si>
    <t>New Buildings at Hospital - Pre Fab building</t>
  </si>
  <si>
    <t>Roof, Floor, Fittings and services</t>
  </si>
  <si>
    <t>CIE</t>
  </si>
  <si>
    <t>S 0.53625</t>
  </si>
  <si>
    <t>E166.92378</t>
  </si>
  <si>
    <t>S 0.54472</t>
  </si>
  <si>
    <t>E166.92104</t>
  </si>
  <si>
    <t>Base Aggregate</t>
  </si>
  <si>
    <t>Unsealed Roads (Base)</t>
  </si>
  <si>
    <t>Yaren/Bue</t>
  </si>
  <si>
    <t>Airstrip - Edge Lighting</t>
  </si>
  <si>
    <t>Airstrip - Security Fence</t>
  </si>
  <si>
    <t>Windsock</t>
  </si>
  <si>
    <t>Airstrip - Drainage Sumps</t>
  </si>
  <si>
    <t>PAPI</t>
  </si>
  <si>
    <t>Radio Signal Equipment</t>
  </si>
  <si>
    <t>Bue</t>
  </si>
  <si>
    <t>Taxiways - Wide Turning Area at Yaren End of runway</t>
  </si>
  <si>
    <t>Taxiways - Wide Turning Area at Bue End of runway</t>
  </si>
  <si>
    <t>Taxiways - LHS Turn into terminal   gate</t>
  </si>
  <si>
    <t>Taxiways - RHS Turn into terminal   gate</t>
  </si>
  <si>
    <t xml:space="preserve">Sea Wall at the Edge of Runway </t>
  </si>
  <si>
    <t>Riprap behind Runway</t>
  </si>
  <si>
    <t>Riprap behind Meneng hotel</t>
  </si>
  <si>
    <t>Riprap in Anetan</t>
  </si>
  <si>
    <t>Steel Reinforced Concrete</t>
  </si>
  <si>
    <t>Ripraps</t>
  </si>
  <si>
    <t>Masonry wall of rock (Std)</t>
  </si>
  <si>
    <t>Masonry wall of rock (Superior)</t>
  </si>
  <si>
    <t>Denig</t>
  </si>
  <si>
    <t>S 0.53740</t>
  </si>
  <si>
    <t xml:space="preserve"> Physical Condition of Asset </t>
  </si>
  <si>
    <t>Capital Repairs and Upgrades</t>
  </si>
  <si>
    <t>years in service since capital repairs and upgrades</t>
  </si>
  <si>
    <t>Investment amount</t>
  </si>
  <si>
    <t>Concrete sea walls</t>
  </si>
  <si>
    <t>Nauru Primary School - Permanent 2 Story - 8 Classrooms</t>
  </si>
  <si>
    <t>Flooring, Fitouts, services</t>
  </si>
  <si>
    <t xml:space="preserve">Meneng </t>
  </si>
  <si>
    <t>S 0.54562</t>
  </si>
  <si>
    <t>E166.91531</t>
  </si>
  <si>
    <t>Conc Slab</t>
  </si>
  <si>
    <t>Schools only</t>
  </si>
  <si>
    <t>S 0.53079</t>
  </si>
  <si>
    <t>E166.91699</t>
  </si>
  <si>
    <t>Tower Height (m)</t>
  </si>
  <si>
    <t>S 0.53069</t>
  </si>
  <si>
    <t>E 166.91699</t>
  </si>
  <si>
    <t>S 0.53025</t>
  </si>
  <si>
    <t>Tower at ICT office</t>
  </si>
  <si>
    <t>S 0.54727</t>
  </si>
  <si>
    <t>Media/IT/CENPAC</t>
  </si>
  <si>
    <t>Aviation and ICT equipment</t>
  </si>
  <si>
    <t>S 0.53695</t>
  </si>
  <si>
    <t>E 166.93449</t>
  </si>
  <si>
    <t>RPC managed - ICT has point to point equipment on it will be used by CENPAC</t>
  </si>
  <si>
    <t>E 166.91640</t>
  </si>
  <si>
    <t>S 0.54298</t>
  </si>
  <si>
    <t>E 166.91841</t>
  </si>
  <si>
    <t>Roof and Ceiling needs replacement - stand by generator need rehab</t>
  </si>
  <si>
    <t>S 0.54373</t>
  </si>
  <si>
    <t>E 166.92064</t>
  </si>
  <si>
    <t>Excellent</t>
  </si>
  <si>
    <t>Good</t>
  </si>
  <si>
    <t xml:space="preserve">Fair </t>
  </si>
  <si>
    <t>Poor</t>
  </si>
  <si>
    <t>Riprap from Nauru Secondary School to Yaren Primary School</t>
  </si>
  <si>
    <t>S  0.54115</t>
  </si>
  <si>
    <t>E 166.91180</t>
  </si>
  <si>
    <t>S 0.55373</t>
  </si>
  <si>
    <t>E 166.92645</t>
  </si>
  <si>
    <t>E 166.91643</t>
  </si>
  <si>
    <t>S 0.54426</t>
  </si>
  <si>
    <t>E 166.91710</t>
  </si>
  <si>
    <t>S 0.54469</t>
  </si>
  <si>
    <t>E 166.91606</t>
  </si>
  <si>
    <t>S 0.54390</t>
  </si>
  <si>
    <t>E 166.91669</t>
  </si>
  <si>
    <t>Drainage Sumps</t>
  </si>
  <si>
    <t>Footpaths</t>
  </si>
  <si>
    <t>Radio and NTV Broadcast Tower</t>
  </si>
  <si>
    <t>ICT Towers</t>
  </si>
  <si>
    <t>Air Nav Aid Tower</t>
  </si>
  <si>
    <t>Non Directional Beacon (NDB) Tower</t>
  </si>
  <si>
    <t xml:space="preserve">Digicel - C Band Dish Tower </t>
  </si>
  <si>
    <t>Riprap behind Old Bue School Building</t>
  </si>
  <si>
    <t>Riprap at Heavy Machinery Unloading Dock (U-Shaped Riprap)</t>
  </si>
  <si>
    <t>Riprap at West End of Runway (U Shaped Riprap)</t>
  </si>
  <si>
    <t>Flooring, Fitouts, Services, Roof</t>
  </si>
  <si>
    <t xml:space="preserve">Buildings: </t>
  </si>
  <si>
    <t>Health Buildings</t>
  </si>
  <si>
    <t>Port Authority Buildings</t>
  </si>
  <si>
    <t>Coastal Protection:</t>
  </si>
  <si>
    <t>Total Seawalls &amp; ripraps</t>
  </si>
  <si>
    <t>ICT Assets:</t>
  </si>
  <si>
    <t>Public Services Administration</t>
  </si>
  <si>
    <t>PS</t>
  </si>
  <si>
    <t>CA</t>
  </si>
  <si>
    <t>Sports Arena</t>
  </si>
  <si>
    <t>Public Library and Community Hall</t>
  </si>
  <si>
    <t>ES</t>
  </si>
  <si>
    <t>Civil Aviation</t>
  </si>
  <si>
    <t>PF</t>
  </si>
  <si>
    <t xml:space="preserve">Department of Education </t>
  </si>
  <si>
    <t xml:space="preserve">Department of Health </t>
  </si>
  <si>
    <t>DH</t>
  </si>
  <si>
    <t>Nauru Rehabilitation Corporation</t>
  </si>
  <si>
    <t>Port Authority of Nauru</t>
  </si>
  <si>
    <t xml:space="preserve">Ministry of Commerce, Industry and Environment </t>
  </si>
  <si>
    <t>CI</t>
  </si>
  <si>
    <t>Department of Transport</t>
  </si>
  <si>
    <t>DT</t>
  </si>
  <si>
    <t xml:space="preserve">Department of Transport </t>
  </si>
  <si>
    <t>Coastal Protection      (Infrastructure Department)</t>
  </si>
  <si>
    <t>Waste Management (CIE)</t>
  </si>
  <si>
    <t>Justice and Border and Control</t>
  </si>
  <si>
    <t>JB</t>
  </si>
  <si>
    <t>Jails, Courts</t>
  </si>
  <si>
    <t>Retired</t>
  </si>
  <si>
    <t>Civil Aviation Assets:</t>
  </si>
  <si>
    <t>Other navigation assets</t>
  </si>
  <si>
    <t>Total GON Infrastructure Assets</t>
  </si>
  <si>
    <t xml:space="preserve">Telecom Equipment mounted outdoors </t>
  </si>
  <si>
    <t>Telecom Equipment mounted indoors</t>
  </si>
  <si>
    <t>SRDT-???</t>
  </si>
  <si>
    <t>FPDT-???</t>
  </si>
  <si>
    <t>URNR-???</t>
  </si>
  <si>
    <t>ASCA-???</t>
  </si>
  <si>
    <t>NACA-???</t>
  </si>
  <si>
    <t>SFCA-???</t>
  </si>
  <si>
    <t>WFPA-???</t>
  </si>
  <si>
    <t>BHFM-???</t>
  </si>
  <si>
    <t>SWCP-???</t>
  </si>
  <si>
    <t>STWM-???</t>
  </si>
  <si>
    <t>LFWM-???</t>
  </si>
  <si>
    <t>RSWM-???</t>
  </si>
  <si>
    <t>ATIC-???</t>
  </si>
  <si>
    <t>IEIC-???</t>
  </si>
  <si>
    <t>OEIC-???</t>
  </si>
  <si>
    <t>MI</t>
  </si>
  <si>
    <t>MIWM-???</t>
  </si>
  <si>
    <t>BHFM-001</t>
  </si>
  <si>
    <t>Boat Harbour and Recreation Area</t>
  </si>
  <si>
    <t>SRDT-001</t>
  </si>
  <si>
    <t>SRDT-002</t>
  </si>
  <si>
    <t>SRDT-003</t>
  </si>
  <si>
    <t>SRDT-004</t>
  </si>
  <si>
    <t>SRDT-005</t>
  </si>
  <si>
    <t>SRDT-006</t>
  </si>
  <si>
    <t>SRDT-007</t>
  </si>
  <si>
    <t>SRDT-008</t>
  </si>
  <si>
    <t>SRDT-009</t>
  </si>
  <si>
    <t>SRDT-010</t>
  </si>
  <si>
    <t>SRDT-011</t>
  </si>
  <si>
    <t>SRDT-012</t>
  </si>
  <si>
    <t>SRDT-013</t>
  </si>
  <si>
    <t>SRDT-014</t>
  </si>
  <si>
    <t>SRDT-015</t>
  </si>
  <si>
    <t>SRDT-016</t>
  </si>
  <si>
    <t>SRDT-017</t>
  </si>
  <si>
    <t>SRDT-018</t>
  </si>
  <si>
    <t>SRDT-019</t>
  </si>
  <si>
    <t>SRDT-020</t>
  </si>
  <si>
    <t>SRDT-021</t>
  </si>
  <si>
    <t>SRDT-022</t>
  </si>
  <si>
    <t>FPDT-001</t>
  </si>
  <si>
    <t>FPDT-002</t>
  </si>
  <si>
    <t>FPDT-003</t>
  </si>
  <si>
    <t>FPDT-004</t>
  </si>
  <si>
    <t>FPDT-005</t>
  </si>
  <si>
    <t>FPDT-006</t>
  </si>
  <si>
    <t>FPDT-007</t>
  </si>
  <si>
    <t>FPDT-008</t>
  </si>
  <si>
    <t>FPDT-009</t>
  </si>
  <si>
    <t>FPDT-010</t>
  </si>
  <si>
    <t>FPDT-011</t>
  </si>
  <si>
    <t>FPDT-012</t>
  </si>
  <si>
    <t>FPDT-013</t>
  </si>
  <si>
    <t>FPDT-014</t>
  </si>
  <si>
    <t>FPDT-015</t>
  </si>
  <si>
    <t>FPDT-016</t>
  </si>
  <si>
    <t>FPDT-017</t>
  </si>
  <si>
    <t>FPDT-018</t>
  </si>
  <si>
    <t>URNR-001</t>
  </si>
  <si>
    <t>URNR-002</t>
  </si>
  <si>
    <t>URNR-003</t>
  </si>
  <si>
    <t>URNR-004</t>
  </si>
  <si>
    <t>URNR-005</t>
  </si>
  <si>
    <t>URNR-006</t>
  </si>
  <si>
    <t>URNR-007</t>
  </si>
  <si>
    <t>URNR-008</t>
  </si>
  <si>
    <t>SFCA-002</t>
  </si>
  <si>
    <t>ASCA-001</t>
  </si>
  <si>
    <t>ASCA-002</t>
  </si>
  <si>
    <t>ASCA-003</t>
  </si>
  <si>
    <t>ASCA-004</t>
  </si>
  <si>
    <t>ASCA-005</t>
  </si>
  <si>
    <t>ASCA-006</t>
  </si>
  <si>
    <t>NACA-001</t>
  </si>
  <si>
    <t>NACA-003</t>
  </si>
  <si>
    <t>DSCA-004</t>
  </si>
  <si>
    <t>NACA-005</t>
  </si>
  <si>
    <t>NACA-006</t>
  </si>
  <si>
    <t>Airstrip - Windsock (Both sides)</t>
  </si>
  <si>
    <t>ATIC-001</t>
  </si>
  <si>
    <t>ATIC-002</t>
  </si>
  <si>
    <t>ATIC-003</t>
  </si>
  <si>
    <t>ATIC-004</t>
  </si>
  <si>
    <t>ATIC-005</t>
  </si>
  <si>
    <t>ATCA-101</t>
  </si>
  <si>
    <t>ATIC-006</t>
  </si>
  <si>
    <t>ATIC-007</t>
  </si>
  <si>
    <t>OEIC-201</t>
  </si>
  <si>
    <t>IEIC-202</t>
  </si>
  <si>
    <t>S 00.53954</t>
  </si>
  <si>
    <t>E 166.91442</t>
  </si>
  <si>
    <t>Riprap in Meneng District</t>
  </si>
  <si>
    <t xml:space="preserve">Riprap near Kapelle Supermarket </t>
  </si>
  <si>
    <t xml:space="preserve">Riprap behind runway in Yaren </t>
  </si>
  <si>
    <t>Civil Aviation Buildings</t>
  </si>
  <si>
    <t>Fisheries and Marine Resources Buildings</t>
  </si>
  <si>
    <t>Total Civil Aviation Assets</t>
  </si>
  <si>
    <t>Port Authority Assets:</t>
  </si>
  <si>
    <t>Masonry sea walls/wharfs</t>
  </si>
  <si>
    <t>Telecom/electronics assets</t>
  </si>
  <si>
    <t xml:space="preserve">Hardy plank </t>
  </si>
  <si>
    <t xml:space="preserve">Ceramic or Porcelain Tiles </t>
  </si>
  <si>
    <t>Kaiser College - Toilet Block</t>
  </si>
  <si>
    <t>Public Library on main floor, Second floor leased to University of South Pacific</t>
  </si>
  <si>
    <t>University</t>
  </si>
  <si>
    <t>Meneng Infant School - Classroom</t>
  </si>
  <si>
    <t>Meneng Infant School - Play area</t>
  </si>
  <si>
    <t>Police Building and Detention Centre</t>
  </si>
  <si>
    <t>Nauru Conference Centre</t>
  </si>
  <si>
    <t>Admin Building for Warehouse</t>
  </si>
  <si>
    <t xml:space="preserve">Child Protection Counselling Building </t>
  </si>
  <si>
    <t>Nauru Cultural Centre</t>
  </si>
  <si>
    <t>Community Wellness Centre - Portable trailer</t>
  </si>
  <si>
    <t>Buada Agriculture Training Centre</t>
  </si>
  <si>
    <t>Training Centre</t>
  </si>
  <si>
    <t>Recycling Sorting Shed</t>
  </si>
  <si>
    <t>Total Renovation</t>
  </si>
  <si>
    <t>Foot path  Unit Cost</t>
  </si>
  <si>
    <t xml:space="preserve">For Cenpac Satellite Remote Connects  </t>
  </si>
  <si>
    <t>Assets</t>
  </si>
  <si>
    <t>Comments</t>
  </si>
  <si>
    <t xml:space="preserve">Footpath along Ring Road </t>
  </si>
  <si>
    <t>Foot path along Buada Access Road</t>
  </si>
  <si>
    <t>Footpath along Buada Loop</t>
  </si>
  <si>
    <t>Footpath along Nauru Primary School Access Rd</t>
  </si>
  <si>
    <t>Footpath along Simpson Rd. - Yaren End</t>
  </si>
  <si>
    <t>Footpath along Simpson Rd. - Boe End</t>
  </si>
  <si>
    <t>Data for Financial Controls</t>
  </si>
  <si>
    <t>Asset Management and PCRAFI Data</t>
  </si>
  <si>
    <t>Asset Hiearchy</t>
  </si>
  <si>
    <t># of Stories</t>
  </si>
  <si>
    <t xml:space="preserve">Asset Hiearchy </t>
  </si>
  <si>
    <t>No of Stories</t>
  </si>
  <si>
    <t>Asset Hierarchy</t>
  </si>
  <si>
    <t>Measurements</t>
  </si>
  <si>
    <t xml:space="preserve">Asset Management </t>
  </si>
  <si>
    <t>Asset TUL (Base)</t>
  </si>
  <si>
    <t>Year of Recent Renewal/Rehab (Base)</t>
  </si>
  <si>
    <t>Hardstand Area</t>
  </si>
  <si>
    <t>Dimensions</t>
  </si>
  <si>
    <t>Dimensional Details</t>
  </si>
  <si>
    <t>Costal Protection Structure (includes boat harbour)</t>
  </si>
  <si>
    <t>Asset Hierachy</t>
  </si>
  <si>
    <t>Motor vehicles NRC</t>
  </si>
  <si>
    <t>Antenna Towers &amp; IT equipment</t>
  </si>
  <si>
    <t>Total GRC 2019</t>
  </si>
  <si>
    <t>GRC 2019</t>
  </si>
  <si>
    <t>NRC Assets:</t>
  </si>
  <si>
    <t>Asset Management and PCRAFI Data Requirements</t>
  </si>
  <si>
    <t xml:space="preserve"> Asset Hierarchy Data </t>
  </si>
  <si>
    <t xml:space="preserve"> Asset Hierarchy</t>
  </si>
  <si>
    <t>Edge lighting</t>
  </si>
  <si>
    <t>Education Buildings</t>
  </si>
  <si>
    <t>ICT Buildings</t>
  </si>
  <si>
    <t>CIE Buildings</t>
  </si>
  <si>
    <t>Runway, Taxiways and Hard stop Areas</t>
  </si>
  <si>
    <t>Chain-link fence</t>
  </si>
  <si>
    <t>GRC    2019</t>
  </si>
  <si>
    <t>Status</t>
  </si>
  <si>
    <t>In service</t>
  </si>
  <si>
    <t>In Service</t>
  </si>
  <si>
    <t>In-Service</t>
  </si>
  <si>
    <t>Stauts</t>
  </si>
  <si>
    <t xml:space="preserve">Status </t>
  </si>
  <si>
    <t>Do not include formation in replacent cost</t>
  </si>
  <si>
    <t>Do not include formation &amp; base in replacement cost</t>
  </si>
  <si>
    <t>Avg Annual Mtc. Cost as % of Gross Repacement Cost</t>
  </si>
  <si>
    <t>Exterior Wall Cladding Condition</t>
  </si>
  <si>
    <t>Actual Score/Maximum Score</t>
  </si>
  <si>
    <t>Chainage</t>
  </si>
  <si>
    <t>010</t>
  </si>
  <si>
    <t>Functional Rating of Asset</t>
  </si>
  <si>
    <t>Asset Condition Index</t>
  </si>
  <si>
    <t>Estimated Remaing Service Life</t>
  </si>
  <si>
    <t>S 0.55317</t>
  </si>
  <si>
    <t>E 166.92710</t>
  </si>
  <si>
    <t>S 0.55400</t>
  </si>
  <si>
    <t>E 166.92650</t>
  </si>
  <si>
    <t xml:space="preserve">20 to 32 years </t>
  </si>
  <si>
    <t>Slope</t>
  </si>
  <si>
    <t>1V /2.7H</t>
  </si>
  <si>
    <t>130</t>
  </si>
  <si>
    <t>S 0.55381</t>
  </si>
  <si>
    <t>S 0.55406</t>
  </si>
  <si>
    <t>E 166.9253</t>
  </si>
  <si>
    <t>E 166.9265</t>
  </si>
  <si>
    <t>Vertical</t>
  </si>
  <si>
    <t>30 to 48 years</t>
  </si>
  <si>
    <t>S 0.55065</t>
  </si>
  <si>
    <t>E 166.9215</t>
  </si>
  <si>
    <t>Crest above sea level</t>
  </si>
  <si>
    <t>1V /2H</t>
  </si>
  <si>
    <t>S 0.54919</t>
  </si>
  <si>
    <t>E 166.9188</t>
  </si>
  <si>
    <t>8 to 20 years</t>
  </si>
  <si>
    <t>1.5 to 2.5</t>
  </si>
  <si>
    <t>S 0.54879</t>
  </si>
  <si>
    <t>E 166.9183</t>
  </si>
  <si>
    <t>S 0.54338</t>
  </si>
  <si>
    <t>E 166.9125</t>
  </si>
  <si>
    <t>S 0.54198</t>
  </si>
  <si>
    <t>E 166.9117</t>
  </si>
  <si>
    <t>S 0.5406</t>
  </si>
  <si>
    <t>E 166.9114</t>
  </si>
  <si>
    <t>S 0.54027</t>
  </si>
  <si>
    <t>E 166.9112</t>
  </si>
  <si>
    <t>S 0.53943</t>
  </si>
  <si>
    <t>E 166.9109</t>
  </si>
  <si>
    <t>1 to 1.5</t>
  </si>
  <si>
    <t>1V /1.5H</t>
  </si>
  <si>
    <t>S 0.53774</t>
  </si>
  <si>
    <t>E 166.9101</t>
  </si>
  <si>
    <t>S 0.53756</t>
  </si>
  <si>
    <t>E 166.9099</t>
  </si>
  <si>
    <t>Riprap behind AIWO hotel</t>
  </si>
  <si>
    <t>1V /1H</t>
  </si>
  <si>
    <t>S 0.53721</t>
  </si>
  <si>
    <t>E 166.9102</t>
  </si>
  <si>
    <t>S 0.5367</t>
  </si>
  <si>
    <t>E 166.9100</t>
  </si>
  <si>
    <t xml:space="preserve">2 to 8 years </t>
  </si>
  <si>
    <t>1V /1.5 H to          1V /2.0 H</t>
  </si>
  <si>
    <t>S 0.52708</t>
  </si>
  <si>
    <t>E 166.9097</t>
  </si>
  <si>
    <t>S 0.52557</t>
  </si>
  <si>
    <t xml:space="preserve">10 to 25 years </t>
  </si>
  <si>
    <t>Sea Wall Parallel to the water front road</t>
  </si>
  <si>
    <t>Sea Wall around the Nauru Port</t>
  </si>
  <si>
    <t>S 0.52501</t>
  </si>
  <si>
    <t>E 166.9119</t>
  </si>
  <si>
    <t xml:space="preserve">        1V /2.0 H</t>
  </si>
  <si>
    <t xml:space="preserve">2.5 to 10 years </t>
  </si>
  <si>
    <t>Sea Wall behind Nauru College</t>
  </si>
  <si>
    <t>S 0.52438</t>
  </si>
  <si>
    <t>E 166.9121</t>
  </si>
  <si>
    <t>S 0.52181</t>
  </si>
  <si>
    <t>E 166.9144</t>
  </si>
  <si>
    <t>Riprap protecting an industrial open space in NE orientation</t>
  </si>
  <si>
    <t>S 0.52068</t>
  </si>
  <si>
    <t>E 166.9156</t>
  </si>
  <si>
    <t>S 0.52019</t>
  </si>
  <si>
    <t>E 166.9161</t>
  </si>
  <si>
    <t>Riprap protecting an open space in NE orientation</t>
  </si>
  <si>
    <t>-0.50814 166.9291 -0.50743 166.9297</t>
  </si>
  <si>
    <t>S 0.50814</t>
  </si>
  <si>
    <t>E 166.9291</t>
  </si>
  <si>
    <t>S 0.50743</t>
  </si>
  <si>
    <t>E 166.9297</t>
  </si>
  <si>
    <t>S 0.50352</t>
  </si>
  <si>
    <t>E 166.9338</t>
  </si>
  <si>
    <t>S 0.5029</t>
  </si>
  <si>
    <t>E 166.9332</t>
  </si>
  <si>
    <t>S 0.50288</t>
  </si>
  <si>
    <t>E 166.9382</t>
  </si>
  <si>
    <t>S 0.50337</t>
  </si>
  <si>
    <t>E 166.9453</t>
  </si>
  <si>
    <t>S 0.50361</t>
  </si>
  <si>
    <t>E 166.9462</t>
  </si>
  <si>
    <t>S 0.50370</t>
  </si>
  <si>
    <t>Riprap protecting bus stop on ring road in Anetan</t>
  </si>
  <si>
    <t xml:space="preserve">Riprap protecting tennis court in Anabar </t>
  </si>
  <si>
    <t>S 0.50675</t>
  </si>
  <si>
    <t>E 166.9522</t>
  </si>
  <si>
    <t>S 0.5069</t>
  </si>
  <si>
    <t>E 166.9524</t>
  </si>
  <si>
    <t>1V / 1.5H</t>
  </si>
  <si>
    <t xml:space="preserve">Riprap protecting residential buildings in Anabar </t>
  </si>
  <si>
    <t>S 0.50798</t>
  </si>
  <si>
    <t>E 166.9536</t>
  </si>
  <si>
    <t>S 0.50843</t>
  </si>
  <si>
    <t>E 166.9541</t>
  </si>
  <si>
    <t>1V / 1H</t>
  </si>
  <si>
    <t xml:space="preserve">Riprap protecting ring road in Anibare </t>
  </si>
  <si>
    <t>S 0.5254</t>
  </si>
  <si>
    <t>E 166.9545</t>
  </si>
  <si>
    <t>S 0.52614</t>
  </si>
  <si>
    <t>E 166.959</t>
  </si>
  <si>
    <t>Riprap protecting northern  Anibare harbour</t>
  </si>
  <si>
    <t>S 0.53561</t>
  </si>
  <si>
    <t>E 166.9505</t>
  </si>
  <si>
    <t>S 0.53664</t>
  </si>
  <si>
    <t>E 166.9503</t>
  </si>
  <si>
    <t>Riprap protecting southern  Anibare harbour</t>
  </si>
  <si>
    <t>S 0.53723</t>
  </si>
  <si>
    <t>S 0.53784</t>
  </si>
  <si>
    <t>E 166.9502</t>
  </si>
  <si>
    <t xml:space="preserve">32 to 40 years </t>
  </si>
  <si>
    <t>S 0.54169</t>
  </si>
  <si>
    <t>S 0.5451</t>
  </si>
  <si>
    <t>E 166.9498</t>
  </si>
  <si>
    <t>S 0.54635</t>
  </si>
  <si>
    <t>E 166.9483</t>
  </si>
  <si>
    <t>S 0.54649</t>
  </si>
  <si>
    <t>E 166.9481</t>
  </si>
  <si>
    <t>E 166.9461</t>
  </si>
  <si>
    <t>S 0.54806</t>
  </si>
  <si>
    <t>E 166.9448</t>
  </si>
  <si>
    <t xml:space="preserve">Riprap in Meneng District protecting ring road and residences </t>
  </si>
  <si>
    <t>S 0.54996</t>
  </si>
  <si>
    <t>E 166.9417</t>
  </si>
  <si>
    <t>S 0.55032</t>
  </si>
  <si>
    <t>E 166.9411</t>
  </si>
  <si>
    <t>S 0.55347</t>
  </si>
  <si>
    <t>E 166.9346</t>
  </si>
  <si>
    <t xml:space="preserve">Road Section Functional Rating </t>
  </si>
  <si>
    <t>Functional Rating</t>
  </si>
  <si>
    <t>Functional performance  Rating</t>
  </si>
  <si>
    <t>Super Structure Condition</t>
  </si>
  <si>
    <t xml:space="preserve"> Services</t>
  </si>
  <si>
    <t>Construction price escalation since 2018</t>
  </si>
  <si>
    <t>Functional Performance Rating</t>
  </si>
  <si>
    <t>Asset Functional Rating</t>
  </si>
  <si>
    <t>2 rooms flooring was done in 2021</t>
  </si>
  <si>
    <t>Sacred Hearts School (Kaiser College) - TWO STORY - CLASSROOMS</t>
  </si>
  <si>
    <t>Roof over the verandah needsreplacement about 180 sq m area</t>
  </si>
  <si>
    <t xml:space="preserve">office computer lab needs new flooring, flooding is a bproblem </t>
  </si>
  <si>
    <t>The pump in two compartment septic tank has broken down, because of which the septic system is not working,  This is a maintenance issue - requires replacement of pump</t>
  </si>
  <si>
    <t>Remarks</t>
  </si>
  <si>
    <t>Needs capital repairs to siding and roof - see attached photo</t>
  </si>
  <si>
    <t>Six class rooms previously designated as #400 and #500 have been removed from service,  Two class rooms have been added, there are four more class rooms still required</t>
  </si>
  <si>
    <t>OK</t>
  </si>
  <si>
    <t>It was being painted when I visited in 2023</t>
  </si>
  <si>
    <t>Nauru Primary School  - Portable trailer type was previously in use at RPC - 4 class rooms</t>
  </si>
  <si>
    <t>Only four class rooms are left, the remaining have been retired, These were originally designed for RPC with A/C cooling - A/C has been replaced with fans - ceilings are very low and ther rooms get hot on sunny days</t>
  </si>
  <si>
    <t xml:space="preserve">Nauru Primary School -  2 class rooms </t>
  </si>
  <si>
    <t>E166.94127</t>
  </si>
  <si>
    <t>Principal's office and one class room require roof and flooring</t>
  </si>
  <si>
    <t>There is on going work to replace roof over playing area, contractor claims the roofing material was stolen before it could be installed</t>
  </si>
  <si>
    <t>Budget for strucutral repairs and roof replacement, new fence and cafeteria has been approved, flooring done recently - look for NPP to find cost of rehab</t>
  </si>
  <si>
    <t>Yaren public School - 1 story Steel Frame - 4 classrooms (at the back)</t>
  </si>
  <si>
    <t>This bldg approaching the end of life and should be rebuilt</t>
  </si>
  <si>
    <t>Yaren public School - 1 story - computer room</t>
  </si>
  <si>
    <t>The main foor (play area), with concrete structure looks ok, but the second floor timber structure building is at the end of its life and should be rebuilt - a child fell through broken railing on second floor and got injured - the main floor structure should be inspected by a structual engineer before the second floor is designed</t>
  </si>
  <si>
    <t>Yaren public School - 2 story on Conc pillars main floor lunch area - second floor - 4 class rooms</t>
  </si>
  <si>
    <t>Needs new roof and siding</t>
  </si>
  <si>
    <t>Needs new roof, windows, doors, and siding</t>
  </si>
  <si>
    <t>Roof leaking, gutters broken, ceiling had collapsed, school was closed due to flooding during rain</t>
  </si>
  <si>
    <t>Anetan Infant School - six Classroom</t>
  </si>
  <si>
    <t>Needs new roof on playground area about half of the builidng New lino flooring done for two classrooms at about 30K last year other four rooms need flooring.  Pipes to gutters not attached and results in flooding</t>
  </si>
  <si>
    <t>Concrete spalling and rebar exposed on concete stairs and secnod floor hallway. Needs structural repairs, half of roof done other half is needed, roof  badly leaking during rain</t>
  </si>
  <si>
    <t xml:space="preserve">Nauru College - 2 Story Building </t>
  </si>
  <si>
    <t>A library is needed</t>
  </si>
  <si>
    <t xml:space="preserve">Building removed from service - demolished </t>
  </si>
  <si>
    <t>Govt Administration Office Building - Extension (2nd Floor Added)</t>
  </si>
  <si>
    <t>Multi-cultural affairs (MCA) office</t>
  </si>
  <si>
    <t>S 0.54777</t>
  </si>
  <si>
    <t>E 166.91718</t>
  </si>
  <si>
    <t xml:space="preserve">Dept of Justice Building </t>
  </si>
  <si>
    <t>S 0.54729</t>
  </si>
  <si>
    <t>E 166.91705</t>
  </si>
  <si>
    <t>High Ground</t>
  </si>
  <si>
    <t>S 0.55698</t>
  </si>
  <si>
    <t>E 166.93431</t>
  </si>
  <si>
    <t>S 0.55725</t>
  </si>
  <si>
    <t>S 0.55738</t>
  </si>
  <si>
    <t>S 0.55727</t>
  </si>
  <si>
    <t>E 166.93420</t>
  </si>
  <si>
    <t>Two -Story Timber frame assembled with imported timber kit</t>
  </si>
  <si>
    <t xml:space="preserve">Two story building </t>
  </si>
  <si>
    <t>Asset Functional  Rating</t>
  </si>
  <si>
    <t>Services</t>
  </si>
  <si>
    <t>Runway is planned to be sealed in 2023  - cost approximately 60 million</t>
  </si>
  <si>
    <t>fence repairs are ongoing now - most of the fence was done about 2 years ago</t>
  </si>
  <si>
    <t>willl be redone during resurfacging</t>
  </si>
  <si>
    <t xml:space="preserve">The airport departuture and arrival longes have capacity </t>
  </si>
  <si>
    <t xml:space="preserve">runway resealing $37 to $40 M  includes tower upgrade - flight information center surrousnding road </t>
  </si>
  <si>
    <t xml:space="preserve">fence has been done but for security the fence may need to be increased in height </t>
  </si>
  <si>
    <t>no cost estimates yet - a planning study is needed passenger flows is stricted when two flights - one day a week</t>
  </si>
  <si>
    <t>old technology and new technology - both retained - generator needs replacing</t>
  </si>
  <si>
    <t>school buses are provided by transport dept</t>
  </si>
  <si>
    <t>buses</t>
  </si>
  <si>
    <t>3 buses are being fabricated</t>
  </si>
  <si>
    <t xml:space="preserve">about half are running - 4 under repair </t>
  </si>
  <si>
    <t>8 buses are needed for public service 15 minu service</t>
  </si>
  <si>
    <t>22 buses are needed - 32 seaters</t>
  </si>
  <si>
    <t>larger buses are 60 seater</t>
  </si>
  <si>
    <t>vehicle registration and inspections lice plats - housing and equipment is needed</t>
  </si>
  <si>
    <t>100K</t>
  </si>
  <si>
    <t>em</t>
  </si>
  <si>
    <t xml:space="preserve">Old buildings that have Renovated </t>
  </si>
  <si>
    <t>Nauru Public Health Building - Destroyed by Fire Demolished</t>
  </si>
  <si>
    <t>Clinic - Building removed from service</t>
  </si>
  <si>
    <t>Removed from Service</t>
  </si>
  <si>
    <t xml:space="preserve">Roof and mechancial servies (septic services) require capital repairs </t>
  </si>
  <si>
    <t xml:space="preserve"> </t>
  </si>
  <si>
    <t>The government is planning to cancel the lease for this conferene room space and save on excessive rent</t>
  </si>
  <si>
    <t>This has been outsourced to third party</t>
  </si>
  <si>
    <t>Ok</t>
  </si>
  <si>
    <t>OK , needs minor mtc to ceilings</t>
  </si>
  <si>
    <t xml:space="preserve">Very poor condition, persistent roof leaks have resulted in impairment , structural timber is rotting, drywall ceilings are sagging, water getting into electrical wiring causing safety issues </t>
  </si>
  <si>
    <t>Education Scholarship office</t>
  </si>
  <si>
    <t>A master plan is needed to redevelop the office building to meet the future needs, the building has been expanded on adhoc basis during the past few years and much of the new construciton is sub-standard, consider solar panels on roof top, electrical and plumbing are poor - new building is planned at a cost of 11 million currently on hold - conference center should also be added to new building</t>
  </si>
  <si>
    <t>Gifted to Nauru post office - responsibility for maintenance is with them</t>
  </si>
  <si>
    <t>Very poor condition, persistent roof leaks have resulted in impairment , structural timber is rotting, drywall ceilings are sagging, water getting into electrical wiring causing safety issues - a child was electrocuted last year</t>
  </si>
  <si>
    <t>Roof requires replacement, rear strucutral masonry wall has cracks and need repairs</t>
  </si>
  <si>
    <t>The hospital operations are supported by two distinct types of building structures:
Prefabricated structures, supported on concrete pillars, which were constructed in two development phases during 2016 to 2020 to provide speedy relief to building shortage caused by a fire which destroyed large parts of the hospital building in August 2013.  These prefabricated buildings suffer from serious design flaws:  subfloors made of particle board are not suitable for Nauru’s humid environment – moisture absorption has impaired the structural integrity of subfloors and the floors have been failing requiring patch up repairs everywhere.  The roofs are sealed properly and are leaking in many locations causing impairment of ceilings and walls.  The steel hardware on building exterior is badly corroded.  These structures are suffering from accelerated aging and will need to be replaced within the next five years.  (please refer to attached photos)
Original concrete wall and concrete floor structures, which have been renovated and refurbished.  The quality of workmanship is poor – even in newly refurbished buildings are suffering from roof leaks, ceilings have been damaged in many locations and mold is noticeable.  (please refer to attached photos)
The administration has a new plan for phased redevelopment of the hospital buildings.</t>
  </si>
  <si>
    <t xml:space="preserve">This buildig was desroyed by fire and has been demolished.  A new public health building has been planned in this location by hospital administration </t>
  </si>
  <si>
    <t>Very poor condiiton - needs replacement, this buidling will be demolished and replaced with the new public health building coverd by the above item</t>
  </si>
  <si>
    <t>New Building</t>
  </si>
  <si>
    <t>Roof repairs were done about 2 months ago</t>
  </si>
  <si>
    <t>Air con failure - needs new A/C</t>
  </si>
  <si>
    <t>Septic tank is undersized - needs to be redone</t>
  </si>
  <si>
    <t>Asset Condition lndex</t>
  </si>
  <si>
    <t>Asset Condition index</t>
  </si>
  <si>
    <t>Component 5 (Sump &amp; soak pits)</t>
  </si>
  <si>
    <t>Suitable Inflation Factors Applied per Inflation adjustment sheet</t>
  </si>
  <si>
    <t xml:space="preserve">All Costs Below in AUD Based on Base Year of 2018  </t>
  </si>
  <si>
    <t>Total GRC in 2018</t>
  </si>
  <si>
    <t>Total GRC in 2023</t>
  </si>
  <si>
    <t xml:space="preserve">Although the building is brand new, the construction quality is very poor, roof is already leaking,  </t>
  </si>
  <si>
    <t>Shares a common sewer collector manhole with ICT building, which is undersized and needs to be reconstructed</t>
  </si>
  <si>
    <t>Nauru Media Bureau</t>
  </si>
  <si>
    <t>Nauru Media Building</t>
  </si>
  <si>
    <t>S 0.54725</t>
  </si>
  <si>
    <t>E166.91650</t>
  </si>
  <si>
    <t>Dept of Infrastructure</t>
  </si>
  <si>
    <t>Two -Story with shipping container used as the base for part of the building</t>
  </si>
  <si>
    <t>AIWO</t>
  </si>
  <si>
    <t>Office and Warehouse (in shipping container)</t>
  </si>
  <si>
    <t>S 0.52945</t>
  </si>
  <si>
    <t>E166.91307</t>
  </si>
  <si>
    <t>Part - Shipping Container; Part conc slab</t>
  </si>
  <si>
    <t>Timber frame</t>
  </si>
  <si>
    <t>L</t>
  </si>
  <si>
    <t>Land Transport:</t>
  </si>
  <si>
    <t>Total Land Transport</t>
  </si>
  <si>
    <t>Port Authorigy Assets:</t>
  </si>
  <si>
    <t>NUC Assets:</t>
  </si>
  <si>
    <t>Fuel Storage Farm Assets (approx)</t>
  </si>
  <si>
    <t>Electricity Sector Assets (approx)</t>
  </si>
  <si>
    <t>Water Sector Assets (approx)</t>
  </si>
  <si>
    <t xml:space="preserve">Sacred Hearts School - Prefab single story metal building - 3 class rooms + computer room + library </t>
  </si>
  <si>
    <t>Dept of Infrastructure office</t>
  </si>
  <si>
    <t xml:space="preserve">Department of Infrastructure Development </t>
  </si>
  <si>
    <t>DD</t>
  </si>
  <si>
    <t xml:space="preserve"> Police Force</t>
  </si>
  <si>
    <t xml:space="preserve"> Emergency Services</t>
  </si>
  <si>
    <t>Public Service Adminstration</t>
  </si>
  <si>
    <t>Note:  Electricity and Water and Fuel Storage Infrastructure Assets (managed by NUC) are excluded from project scope, because they have been covered in a separate donor funded TA project</t>
  </si>
  <si>
    <t>Multi Culture Affairs</t>
  </si>
  <si>
    <t>BGCA-101</t>
  </si>
  <si>
    <t>BGCA-102</t>
  </si>
  <si>
    <t>BGCA-103</t>
  </si>
  <si>
    <t>BGCA-104</t>
  </si>
  <si>
    <t>BGSW-151</t>
  </si>
  <si>
    <t>BGSW-152</t>
  </si>
  <si>
    <t>BGDE-201</t>
  </si>
  <si>
    <t>BGDE-202</t>
  </si>
  <si>
    <t>BGDE-203</t>
  </si>
  <si>
    <t>BGDE-204</t>
  </si>
  <si>
    <t>BGDE-205</t>
  </si>
  <si>
    <t>BGDE-206</t>
  </si>
  <si>
    <t>BGDE-207</t>
  </si>
  <si>
    <t>BGDE-208</t>
  </si>
  <si>
    <t>BGDE-209</t>
  </si>
  <si>
    <t>BGDE-210</t>
  </si>
  <si>
    <t>BGDE-211</t>
  </si>
  <si>
    <t>BGDE-212</t>
  </si>
  <si>
    <t>BGDE-213</t>
  </si>
  <si>
    <t>BGDE-214</t>
  </si>
  <si>
    <t>BGDE-215</t>
  </si>
  <si>
    <t>BGDE-216</t>
  </si>
  <si>
    <t>BGDE-217</t>
  </si>
  <si>
    <t>BGDE-218</t>
  </si>
  <si>
    <t>BGDE-219</t>
  </si>
  <si>
    <t>BGDE-220</t>
  </si>
  <si>
    <t>BGDE-221</t>
  </si>
  <si>
    <t>BGDE-222</t>
  </si>
  <si>
    <t>BGDE-223</t>
  </si>
  <si>
    <t>BGDE-224</t>
  </si>
  <si>
    <t>BGDE-225</t>
  </si>
  <si>
    <t>BGDE-226</t>
  </si>
  <si>
    <t>BGDE-227</t>
  </si>
  <si>
    <t>BGDE-228</t>
  </si>
  <si>
    <t>BGDE-229</t>
  </si>
  <si>
    <t>BGDE-230</t>
  </si>
  <si>
    <t>BGDE-231</t>
  </si>
  <si>
    <t>BGDE-232</t>
  </si>
  <si>
    <t>BGDE-233</t>
  </si>
  <si>
    <t>BGDE-234</t>
  </si>
  <si>
    <t>BGDE-235</t>
  </si>
  <si>
    <t>BGDE-236</t>
  </si>
  <si>
    <t>BGDE-237</t>
  </si>
  <si>
    <t>BGDE-238</t>
  </si>
  <si>
    <t>BGDE-239</t>
  </si>
  <si>
    <t>BGDE-240</t>
  </si>
  <si>
    <t>BGDE-241</t>
  </si>
  <si>
    <t>BGDE-242</t>
  </si>
  <si>
    <t>BGDE-243</t>
  </si>
  <si>
    <t>BGDH-301</t>
  </si>
  <si>
    <t>BGDH-302</t>
  </si>
  <si>
    <t>BGDH-303</t>
  </si>
  <si>
    <t>BGDH-304</t>
  </si>
  <si>
    <t>BGDH-305</t>
  </si>
  <si>
    <t>BGDH-306</t>
  </si>
  <si>
    <t>BGDH-307</t>
  </si>
  <si>
    <t>BGDH-308</t>
  </si>
  <si>
    <t>BGDH-309</t>
  </si>
  <si>
    <t>BGDH-310</t>
  </si>
  <si>
    <t>BGDH-311</t>
  </si>
  <si>
    <t>BGDD-401</t>
  </si>
  <si>
    <r>
      <t>Floor Area (m</t>
    </r>
    <r>
      <rPr>
        <vertAlign val="superscript"/>
        <sz val="11"/>
        <color theme="1"/>
        <rFont val="Arial"/>
        <family val="2"/>
      </rPr>
      <t>2</t>
    </r>
    <r>
      <rPr>
        <sz val="11"/>
        <color theme="1"/>
        <rFont val="Arial"/>
        <family val="2"/>
      </rPr>
      <t>)</t>
    </r>
  </si>
  <si>
    <t>BGES-451</t>
  </si>
  <si>
    <t>BGFM-501</t>
  </si>
  <si>
    <t>BGFM-502</t>
  </si>
  <si>
    <t>BGFM-503</t>
  </si>
  <si>
    <t>BGFM-504</t>
  </si>
  <si>
    <t>BGFM-505</t>
  </si>
  <si>
    <t>BGFM-506</t>
  </si>
  <si>
    <t>BGIT-601</t>
  </si>
  <si>
    <t>BGJB-651</t>
  </si>
  <si>
    <t>BGJB-652</t>
  </si>
  <si>
    <t>BGJB-653 Demollshed</t>
  </si>
  <si>
    <t>BGJB-654 Demolished</t>
  </si>
  <si>
    <t>BGJB-655 Demolished</t>
  </si>
  <si>
    <t>BGJB-656</t>
  </si>
  <si>
    <t>BGJB-657</t>
  </si>
  <si>
    <t>BGNM-681</t>
  </si>
  <si>
    <t>Nauru Media</t>
  </si>
  <si>
    <t>NM</t>
  </si>
  <si>
    <t>BG-CA-10?</t>
  </si>
  <si>
    <t>BGCI-15?</t>
  </si>
  <si>
    <t>BGDE-2??</t>
  </si>
  <si>
    <t>BGDH-3??</t>
  </si>
  <si>
    <t>BGDD-40?</t>
  </si>
  <si>
    <t>BGDT-43?</t>
  </si>
  <si>
    <t>BGES-45?</t>
  </si>
  <si>
    <t>BGFM-5??</t>
  </si>
  <si>
    <t>BGJB-65?</t>
  </si>
  <si>
    <t>BGIT-60?</t>
  </si>
  <si>
    <t>BGNM-68?</t>
  </si>
  <si>
    <t>BGPA-70?</t>
  </si>
  <si>
    <t>Police Force</t>
  </si>
  <si>
    <t>BGPS-8??</t>
  </si>
  <si>
    <t>BGPF-75?</t>
  </si>
  <si>
    <t>BGPS-751</t>
  </si>
  <si>
    <t>BGPS-801</t>
  </si>
  <si>
    <t>BGPS-802</t>
  </si>
  <si>
    <t>BGPS-803</t>
  </si>
  <si>
    <t>BGPS-804</t>
  </si>
  <si>
    <t>BGPS-805</t>
  </si>
  <si>
    <t>BGPS-806</t>
  </si>
  <si>
    <t>BGPS-807</t>
  </si>
  <si>
    <t>BGPS-808</t>
  </si>
  <si>
    <t>BGPS-809</t>
  </si>
  <si>
    <t>BGPS-810</t>
  </si>
  <si>
    <t>BGPS-811</t>
  </si>
  <si>
    <t>BGPS-812</t>
  </si>
  <si>
    <t>BGPS-813</t>
  </si>
  <si>
    <t>BGPS-814</t>
  </si>
  <si>
    <t>BGPS-815</t>
  </si>
  <si>
    <t>BGPS-816</t>
  </si>
  <si>
    <t>BGPS-817</t>
  </si>
  <si>
    <t>MC</t>
  </si>
  <si>
    <t>BGJB-67?</t>
  </si>
  <si>
    <t>BGMC-671</t>
  </si>
  <si>
    <t>BGMC-672</t>
  </si>
  <si>
    <t>BGMC-673</t>
  </si>
  <si>
    <t>BGMC-674</t>
  </si>
  <si>
    <t>SWCP-001</t>
  </si>
  <si>
    <t>SWCP-002</t>
  </si>
  <si>
    <t>SWCP-003</t>
  </si>
  <si>
    <t>SWCP-004</t>
  </si>
  <si>
    <t>SWCP-005</t>
  </si>
  <si>
    <t>SWCP-006</t>
  </si>
  <si>
    <t>SWCP-007</t>
  </si>
  <si>
    <t>SWCP-008</t>
  </si>
  <si>
    <t>SWCP-009</t>
  </si>
  <si>
    <t>SWCP-010</t>
  </si>
  <si>
    <t>SWCP-011</t>
  </si>
  <si>
    <t>SWCP-012</t>
  </si>
  <si>
    <t>SWCP-013</t>
  </si>
  <si>
    <t>SWCP-014</t>
  </si>
  <si>
    <t>SWCP-015</t>
  </si>
  <si>
    <t>SWCP-016</t>
  </si>
  <si>
    <t>SWCP-017</t>
  </si>
  <si>
    <t>SWCP-018</t>
  </si>
  <si>
    <t>SWCP-019</t>
  </si>
  <si>
    <t>SWCP-020</t>
  </si>
  <si>
    <t>SWCP-021</t>
  </si>
  <si>
    <t>SWCP-022</t>
  </si>
  <si>
    <t>SWCP-023</t>
  </si>
  <si>
    <t>SWCP-024</t>
  </si>
  <si>
    <t>SWCP-025</t>
  </si>
  <si>
    <t>SWCP-026</t>
  </si>
  <si>
    <t>SWCP-027</t>
  </si>
  <si>
    <t>Initial book value</t>
  </si>
  <si>
    <t>Current BV</t>
  </si>
  <si>
    <t>MTC</t>
  </si>
  <si>
    <t>Dept of Infrastructure building</t>
  </si>
  <si>
    <t>Emergenecy Services</t>
  </si>
  <si>
    <t>Justrice and Border Control Bldgs</t>
  </si>
  <si>
    <t>Multi Culture Affairs Bldgs</t>
  </si>
  <si>
    <t>Nauru Media Bldg</t>
  </si>
  <si>
    <t>Police service Bulding</t>
  </si>
  <si>
    <t>Public Service Admin Bldgs</t>
  </si>
  <si>
    <r>
      <t>Initial Book Value</t>
    </r>
    <r>
      <rPr>
        <b/>
        <vertAlign val="superscript"/>
        <sz val="11"/>
        <color theme="1"/>
        <rFont val="Arial"/>
        <family val="2"/>
      </rPr>
      <t xml:space="preserve"> (a)</t>
    </r>
  </si>
  <si>
    <r>
      <t>Accum. Depreciation</t>
    </r>
    <r>
      <rPr>
        <b/>
        <vertAlign val="superscript"/>
        <sz val="11"/>
        <color theme="1"/>
        <rFont val="Arial"/>
        <family val="2"/>
      </rPr>
      <t xml:space="preserve"> (b)</t>
    </r>
  </si>
  <si>
    <r>
      <t>Net Book Value</t>
    </r>
    <r>
      <rPr>
        <b/>
        <vertAlign val="superscript"/>
        <sz val="11"/>
        <color theme="1"/>
        <rFont val="Arial"/>
        <family val="2"/>
      </rPr>
      <t xml:space="preserve"> (c)</t>
    </r>
  </si>
  <si>
    <r>
      <t>Gross Replacement Cost</t>
    </r>
    <r>
      <rPr>
        <b/>
        <vertAlign val="superscript"/>
        <sz val="11"/>
        <color theme="1"/>
        <rFont val="Arial"/>
        <family val="2"/>
      </rPr>
      <t xml:space="preserve"> (d)</t>
    </r>
  </si>
  <si>
    <r>
      <t>Annual Maintenance Allowance</t>
    </r>
    <r>
      <rPr>
        <b/>
        <vertAlign val="superscript"/>
        <sz val="11"/>
        <color theme="1"/>
        <rFont val="Arial"/>
        <family val="2"/>
      </rPr>
      <t xml:space="preserve"> (e)</t>
    </r>
  </si>
  <si>
    <t>(under construction)</t>
  </si>
  <si>
    <t>Appendix C:  Asset Register and Condition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</si>
</sst>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4" formatCode="_(&quot;$&quot;* #,##0.00_);_(&quot;$&quot;* \(#,##0.00\);_(&quot;$&quot;* &quot;-&quot;??_);_(@_)"/>
    <numFmt numFmtId="43" formatCode="_(* #,##0.00_);_(* \(#,##0.00\);_(* &quot;-&quot;??_);_(@_)"/>
    <numFmt numFmtId="164" formatCode="0.0%"/>
    <numFmt numFmtId="165" formatCode="_(&quot;$&quot;* #,##0_);_(&quot;$&quot;* \(#,##0\);_(&quot;$&quot;* &quot;-&quot;??_);_(@_)"/>
    <numFmt numFmtId="166" formatCode="0.000"/>
    <numFmt numFmtId="167" formatCode="_(* #,##0_);_(* \(#,##0\);_(* &quot;-&quot;??_);_(@_)"/>
    <numFmt numFmtId="168" formatCode="_-* #,##0.0_-;\-* #,##0.0_-;_-* &quot;-&quot;??_-;_-@_-"/>
    <numFmt numFmtId="169" formatCode="0.0"/>
  </numFmts>
  <fonts count="18" x14ac:knownFonts="1">
    <font>
      <sz val="11"/>
      <color theme="1"/>
      <name val="Calibri"/>
      <family val="2"/>
      <scheme val="minor"/>
    </font>
    <font>
      <b/>
      <sz val="11"/>
      <color theme="1"/>
      <name val="Calibri"/>
      <family val="2"/>
      <scheme val="minor"/>
    </font>
    <font>
      <sz val="11"/>
      <color theme="1"/>
      <name val="Calibri"/>
      <family val="2"/>
      <scheme val="minor"/>
    </font>
    <font>
      <sz val="11"/>
      <name val="Calibri"/>
      <family val="2"/>
      <scheme val="minor"/>
    </font>
    <font>
      <vertAlign val="superscript"/>
      <sz val="11"/>
      <color theme="1"/>
      <name val="Calibri"/>
      <family val="2"/>
      <scheme val="minor"/>
    </font>
    <font>
      <b/>
      <sz val="11"/>
      <color theme="1"/>
      <name val="Arial"/>
      <family val="2"/>
    </font>
    <font>
      <sz val="11"/>
      <color theme="1"/>
      <name val="Arial"/>
      <family val="2"/>
    </font>
    <font>
      <b/>
      <sz val="12"/>
      <color theme="1"/>
      <name val="Arial"/>
      <family val="2"/>
    </font>
    <font>
      <sz val="12"/>
      <color theme="1"/>
      <name val="Arial"/>
      <family val="2"/>
    </font>
    <font>
      <i/>
      <sz val="11"/>
      <color theme="1"/>
      <name val="Calibri"/>
      <family val="2"/>
      <scheme val="minor"/>
    </font>
    <font>
      <sz val="10"/>
      <color theme="1"/>
      <name val="Arial"/>
      <family val="2"/>
    </font>
    <font>
      <sz val="6"/>
      <color theme="1"/>
      <name val="Arial"/>
      <family val="2"/>
    </font>
    <font>
      <sz val="16"/>
      <color theme="1"/>
      <name val="Arial"/>
      <family val="2"/>
    </font>
    <font>
      <sz val="8"/>
      <name val="Calibri"/>
      <family val="2"/>
      <scheme val="minor"/>
    </font>
    <font>
      <vertAlign val="superscript"/>
      <sz val="11"/>
      <color theme="1"/>
      <name val="Arial"/>
      <family val="2"/>
    </font>
    <font>
      <b/>
      <sz val="11"/>
      <name val="Arial"/>
      <family val="2"/>
    </font>
    <font>
      <b/>
      <vertAlign val="superscript"/>
      <sz val="11"/>
      <color theme="1"/>
      <name val="Arial"/>
      <family val="2"/>
    </font>
    <font>
      <b/>
      <sz val="14"/>
      <color theme="1"/>
      <name val="Calibri"/>
      <family val="2"/>
      <scheme val="minor"/>
    </font>
  </fonts>
  <fills count="17">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2"/>
        <bgColor indexed="64"/>
      </patternFill>
    </fill>
    <fill>
      <patternFill patternType="solid">
        <fgColor theme="6" tint="0.59999389629810485"/>
        <bgColor indexed="64"/>
      </patternFill>
    </fill>
    <fill>
      <patternFill patternType="solid">
        <fgColor theme="0" tint="-4.9989318521683403E-2"/>
        <bgColor indexed="64"/>
      </patternFill>
    </fill>
  </fills>
  <borders count="88">
    <border>
      <left/>
      <right/>
      <top/>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n">
        <color auto="1"/>
      </right>
      <top/>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top style="thick">
        <color auto="1"/>
      </top>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right style="thin">
        <color auto="1"/>
      </right>
      <top/>
      <bottom style="thick">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top style="thick">
        <color auto="1"/>
      </top>
      <bottom/>
      <diagonal/>
    </border>
    <border>
      <left/>
      <right style="thin">
        <color auto="1"/>
      </right>
      <top style="thick">
        <color auto="1"/>
      </top>
      <bottom/>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ck">
        <color auto="1"/>
      </right>
      <top style="thin">
        <color auto="1"/>
      </top>
      <bottom style="thin">
        <color auto="1"/>
      </bottom>
      <diagonal/>
    </border>
    <border>
      <left/>
      <right/>
      <top/>
      <bottom style="thick">
        <color auto="1"/>
      </bottom>
      <diagonal/>
    </border>
    <border>
      <left/>
      <right style="thin">
        <color auto="1"/>
      </right>
      <top/>
      <bottom/>
      <diagonal/>
    </border>
    <border>
      <left/>
      <right style="thin">
        <color auto="1"/>
      </right>
      <top style="thick">
        <color auto="1"/>
      </top>
      <bottom style="thin">
        <color auto="1"/>
      </bottom>
      <diagonal/>
    </border>
    <border>
      <left/>
      <right style="thin">
        <color auto="1"/>
      </right>
      <top style="thin">
        <color auto="1"/>
      </top>
      <bottom style="thin">
        <color auto="1"/>
      </bottom>
      <diagonal/>
    </border>
    <border>
      <left style="thick">
        <color auto="1"/>
      </left>
      <right/>
      <top/>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right/>
      <top style="thick">
        <color auto="1"/>
      </top>
      <bottom style="thin">
        <color auto="1"/>
      </bottom>
      <diagonal/>
    </border>
    <border>
      <left style="thin">
        <color auto="1"/>
      </left>
      <right style="thick">
        <color auto="1"/>
      </right>
      <top style="thin">
        <color auto="1"/>
      </top>
      <bottom/>
      <diagonal/>
    </border>
    <border>
      <left style="thin">
        <color auto="1"/>
      </left>
      <right/>
      <top style="thick">
        <color auto="1"/>
      </top>
      <bottom style="thin">
        <color auto="1"/>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ck">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diagonal/>
    </border>
    <border>
      <left style="thin">
        <color auto="1"/>
      </left>
      <right/>
      <top style="thin">
        <color auto="1"/>
      </top>
      <bottom/>
      <diagonal/>
    </border>
    <border>
      <left style="thick">
        <color auto="1"/>
      </left>
      <right style="thick">
        <color auto="1"/>
      </right>
      <top/>
      <bottom/>
      <diagonal/>
    </border>
    <border>
      <left style="thick">
        <color auto="1"/>
      </left>
      <right/>
      <top style="thin">
        <color auto="1"/>
      </top>
      <bottom/>
      <diagonal/>
    </border>
    <border>
      <left/>
      <right/>
      <top/>
      <bottom style="thin">
        <color auto="1"/>
      </bottom>
      <diagonal/>
    </border>
    <border>
      <left style="thick">
        <color auto="1"/>
      </left>
      <right/>
      <top/>
      <bottom style="thin">
        <color auto="1"/>
      </bottom>
      <diagonal/>
    </border>
    <border>
      <left style="thick">
        <color auto="1"/>
      </left>
      <right style="thick">
        <color auto="1"/>
      </right>
      <top/>
      <bottom style="thin">
        <color auto="1"/>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ck">
        <color auto="1"/>
      </left>
      <right style="thin">
        <color auto="1"/>
      </right>
      <top style="thin">
        <color auto="1"/>
      </top>
      <bottom/>
      <diagonal/>
    </border>
    <border>
      <left style="thick">
        <color auto="1"/>
      </left>
      <right style="thin">
        <color auto="1"/>
      </right>
      <top/>
      <bottom style="thin">
        <color auto="1"/>
      </bottom>
      <diagonal/>
    </border>
    <border>
      <left style="thick">
        <color auto="1"/>
      </left>
      <right style="thick">
        <color auto="1"/>
      </right>
      <top style="thick">
        <color auto="1"/>
      </top>
      <bottom style="thick">
        <color auto="1"/>
      </bottom>
      <diagonal/>
    </border>
    <border>
      <left style="thin">
        <color auto="1"/>
      </left>
      <right style="thick">
        <color auto="1"/>
      </right>
      <top/>
      <bottom style="thin">
        <color auto="1"/>
      </bottom>
      <diagonal/>
    </border>
    <border>
      <left style="thick">
        <color auto="1"/>
      </left>
      <right/>
      <top/>
      <bottom style="thick">
        <color auto="1"/>
      </bottom>
      <diagonal/>
    </border>
    <border>
      <left style="thick">
        <color auto="1"/>
      </left>
      <right/>
      <top style="thick">
        <color auto="1"/>
      </top>
      <bottom/>
      <diagonal/>
    </border>
    <border>
      <left style="thick">
        <color auto="1"/>
      </left>
      <right style="thin">
        <color auto="1"/>
      </right>
      <top style="thin">
        <color auto="1"/>
      </top>
      <bottom style="thick">
        <color auto="1"/>
      </bottom>
      <diagonal/>
    </border>
    <border>
      <left/>
      <right style="thick">
        <color auto="1"/>
      </right>
      <top style="thick">
        <color auto="1"/>
      </top>
      <bottom style="thin">
        <color auto="1"/>
      </bottom>
      <diagonal/>
    </border>
    <border>
      <left/>
      <right style="thick">
        <color auto="1"/>
      </right>
      <top style="thin">
        <color auto="1"/>
      </top>
      <bottom style="thick">
        <color auto="1"/>
      </bottom>
      <diagonal/>
    </border>
    <border>
      <left style="thin">
        <color auto="1"/>
      </left>
      <right/>
      <top/>
      <bottom style="thick">
        <color auto="1"/>
      </bottom>
      <diagonal/>
    </border>
    <border>
      <left style="thick">
        <color auto="1"/>
      </left>
      <right/>
      <top style="thin">
        <color auto="1"/>
      </top>
      <bottom style="thick">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auto="1"/>
      </right>
      <top style="thin">
        <color auto="1"/>
      </top>
      <bottom/>
      <diagonal/>
    </border>
    <border>
      <left style="thin">
        <color auto="1"/>
      </left>
      <right style="thick">
        <color auto="1"/>
      </right>
      <top/>
      <bottom/>
      <diagonal/>
    </border>
    <border>
      <left/>
      <right style="thick">
        <color auto="1"/>
      </right>
      <top/>
      <bottom/>
      <diagonal/>
    </border>
    <border>
      <left style="thick">
        <color auto="1"/>
      </left>
      <right/>
      <top style="thick">
        <color auto="1"/>
      </top>
      <bottom style="thin">
        <color auto="1"/>
      </bottom>
      <diagonal/>
    </border>
    <border>
      <left/>
      <right/>
      <top style="thin">
        <color indexed="64"/>
      </top>
      <bottom/>
      <diagonal/>
    </border>
    <border>
      <left style="thin">
        <color auto="1"/>
      </left>
      <right/>
      <top style="medium">
        <color indexed="64"/>
      </top>
      <bottom style="thin">
        <color auto="1"/>
      </bottom>
      <diagonal/>
    </border>
    <border>
      <left/>
      <right style="medium">
        <color indexed="64"/>
      </right>
      <top style="thin">
        <color auto="1"/>
      </top>
      <bottom style="thin">
        <color auto="1"/>
      </bottom>
      <diagonal/>
    </border>
  </borders>
  <cellStyleXfs count="4">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749">
    <xf numFmtId="0" fontId="0" fillId="0" borderId="0" xfId="0"/>
    <xf numFmtId="0" fontId="0" fillId="3" borderId="11" xfId="0" applyFill="1" applyBorder="1"/>
    <xf numFmtId="0" fontId="1" fillId="0" borderId="0" xfId="0" applyFont="1" applyAlignment="1">
      <alignment horizontal="left"/>
    </xf>
    <xf numFmtId="0" fontId="0" fillId="0" borderId="14" xfId="0" applyBorder="1" applyAlignment="1">
      <alignment horizontal="center" vertical="center"/>
    </xf>
    <xf numFmtId="0" fontId="0" fillId="6" borderId="0" xfId="0" applyFill="1" applyAlignment="1">
      <alignment horizontal="center" vertical="center"/>
    </xf>
    <xf numFmtId="0" fontId="0" fillId="6" borderId="0" xfId="0" applyFill="1"/>
    <xf numFmtId="0" fontId="0" fillId="0" borderId="0" xfId="0" applyAlignment="1">
      <alignment horizontal="center"/>
    </xf>
    <xf numFmtId="0" fontId="0" fillId="0" borderId="0" xfId="0" applyAlignment="1">
      <alignment horizontal="left"/>
    </xf>
    <xf numFmtId="0" fontId="1" fillId="0" borderId="0" xfId="0" applyFont="1"/>
    <xf numFmtId="0" fontId="0" fillId="0" borderId="0" xfId="0" applyAlignment="1">
      <alignment horizontal="center" vertical="center" wrapText="1"/>
    </xf>
    <xf numFmtId="0" fontId="0" fillId="7" borderId="0" xfId="0" applyFill="1" applyAlignment="1">
      <alignment horizontal="left"/>
    </xf>
    <xf numFmtId="0" fontId="1" fillId="11" borderId="51" xfId="0" applyFont="1" applyFill="1" applyBorder="1" applyAlignment="1">
      <alignment horizontal="center"/>
    </xf>
    <xf numFmtId="0" fontId="1" fillId="11" borderId="52" xfId="0" applyFont="1" applyFill="1" applyBorder="1" applyAlignment="1">
      <alignment horizontal="center"/>
    </xf>
    <xf numFmtId="0" fontId="1" fillId="11" borderId="53" xfId="0" applyFont="1" applyFill="1" applyBorder="1" applyAlignment="1">
      <alignment horizontal="center"/>
    </xf>
    <xf numFmtId="0" fontId="0" fillId="0" borderId="26" xfId="0" applyBorder="1" applyAlignment="1">
      <alignment horizontal="center"/>
    </xf>
    <xf numFmtId="0" fontId="0" fillId="0" borderId="31" xfId="0" applyBorder="1" applyAlignment="1">
      <alignment horizontal="right"/>
    </xf>
    <xf numFmtId="0" fontId="0" fillId="7" borderId="26" xfId="0" applyFill="1" applyBorder="1" applyAlignment="1">
      <alignment horizontal="center"/>
    </xf>
    <xf numFmtId="0" fontId="0" fillId="7" borderId="31" xfId="0" applyFill="1" applyBorder="1" applyAlignment="1">
      <alignment horizontal="right"/>
    </xf>
    <xf numFmtId="0" fontId="0" fillId="0" borderId="54" xfId="0" applyBorder="1" applyAlignment="1">
      <alignment horizontal="center" vertical="top"/>
    </xf>
    <xf numFmtId="0" fontId="0" fillId="0" borderId="47" xfId="0" applyBorder="1" applyAlignment="1">
      <alignment horizontal="left" vertical="top"/>
    </xf>
    <xf numFmtId="0" fontId="0" fillId="0" borderId="55" xfId="0" applyBorder="1" applyAlignment="1">
      <alignment horizontal="right" vertical="top" wrapText="1"/>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wrapText="1"/>
    </xf>
    <xf numFmtId="0" fontId="0" fillId="3" borderId="14" xfId="0" applyFill="1" applyBorder="1" applyAlignment="1">
      <alignment horizontal="center"/>
    </xf>
    <xf numFmtId="0" fontId="0" fillId="3" borderId="14" xfId="0" applyFill="1" applyBorder="1" applyAlignment="1">
      <alignment horizontal="center" vertical="center"/>
    </xf>
    <xf numFmtId="0" fontId="0" fillId="5" borderId="14" xfId="0" applyFill="1" applyBorder="1" applyAlignment="1">
      <alignment horizontal="center" vertical="center"/>
    </xf>
    <xf numFmtId="0" fontId="0" fillId="2" borderId="14" xfId="0" applyFill="1" applyBorder="1" applyAlignment="1">
      <alignment horizontal="center" vertical="center"/>
    </xf>
    <xf numFmtId="0" fontId="0" fillId="3" borderId="11" xfId="0" applyFill="1" applyBorder="1" applyAlignment="1">
      <alignment horizontal="center" vertical="center"/>
    </xf>
    <xf numFmtId="0" fontId="0" fillId="5" borderId="11" xfId="0" applyFill="1" applyBorder="1" applyAlignment="1">
      <alignment horizontal="center" vertical="center"/>
    </xf>
    <xf numFmtId="0" fontId="0" fillId="2" borderId="11" xfId="0" applyFill="1" applyBorder="1" applyAlignment="1">
      <alignment horizontal="center" vertical="center"/>
    </xf>
    <xf numFmtId="0" fontId="0" fillId="3" borderId="17" xfId="0" applyFill="1" applyBorder="1" applyAlignment="1">
      <alignment horizontal="left" vertical="center"/>
    </xf>
    <xf numFmtId="0" fontId="0" fillId="3" borderId="18" xfId="0" applyFill="1" applyBorder="1" applyAlignment="1">
      <alignment horizontal="left" vertical="center"/>
    </xf>
    <xf numFmtId="0" fontId="0" fillId="3" borderId="62" xfId="0" applyFill="1" applyBorder="1" applyAlignment="1">
      <alignment horizontal="left" vertical="center"/>
    </xf>
    <xf numFmtId="0" fontId="1" fillId="3" borderId="18" xfId="0" applyFont="1" applyFill="1" applyBorder="1" applyAlignment="1">
      <alignment horizontal="left" vertical="center"/>
    </xf>
    <xf numFmtId="0" fontId="1" fillId="3" borderId="14" xfId="0" applyFont="1" applyFill="1" applyBorder="1" applyAlignment="1">
      <alignment horizontal="center" vertical="center"/>
    </xf>
    <xf numFmtId="0" fontId="1" fillId="5" borderId="14" xfId="0" applyFont="1" applyFill="1" applyBorder="1" applyAlignment="1">
      <alignment horizontal="center" vertical="center"/>
    </xf>
    <xf numFmtId="0" fontId="1" fillId="2" borderId="14" xfId="0" applyFont="1" applyFill="1" applyBorder="1" applyAlignment="1">
      <alignment horizontal="center" vertical="center"/>
    </xf>
    <xf numFmtId="0" fontId="1" fillId="4" borderId="14" xfId="0" applyFont="1" applyFill="1" applyBorder="1" applyAlignment="1">
      <alignment horizontal="center" vertical="center"/>
    </xf>
    <xf numFmtId="0" fontId="0" fillId="4" borderId="14" xfId="0" applyFill="1" applyBorder="1" applyAlignment="1">
      <alignment horizontal="center" vertical="center"/>
    </xf>
    <xf numFmtId="0" fontId="0" fillId="4" borderId="11" xfId="0" applyFill="1" applyBorder="1" applyAlignment="1">
      <alignment horizontal="center" vertical="center"/>
    </xf>
    <xf numFmtId="0" fontId="0" fillId="10" borderId="14" xfId="0" applyFill="1" applyBorder="1"/>
    <xf numFmtId="9" fontId="0" fillId="10" borderId="14" xfId="0" applyNumberFormat="1" applyFill="1" applyBorder="1" applyAlignment="1">
      <alignment horizontal="center"/>
    </xf>
    <xf numFmtId="0" fontId="0" fillId="12" borderId="15" xfId="0" applyFill="1" applyBorder="1"/>
    <xf numFmtId="9" fontId="0" fillId="12" borderId="15" xfId="0" applyNumberFormat="1" applyFill="1" applyBorder="1" applyAlignment="1">
      <alignment horizontal="center"/>
    </xf>
    <xf numFmtId="0" fontId="0" fillId="3" borderId="12" xfId="0" applyFill="1" applyBorder="1"/>
    <xf numFmtId="165" fontId="0" fillId="5" borderId="14" xfId="2" applyNumberFormat="1" applyFont="1" applyFill="1" applyBorder="1" applyAlignment="1">
      <alignment horizontal="center" vertical="center"/>
    </xf>
    <xf numFmtId="165" fontId="0" fillId="2" borderId="14" xfId="2" applyNumberFormat="1" applyFont="1" applyFill="1" applyBorder="1" applyAlignment="1">
      <alignment horizontal="center" vertical="center"/>
    </xf>
    <xf numFmtId="165" fontId="0" fillId="4" borderId="14" xfId="2" applyNumberFormat="1" applyFont="1" applyFill="1" applyBorder="1" applyAlignment="1">
      <alignment horizontal="center" vertical="center"/>
    </xf>
    <xf numFmtId="165" fontId="0" fillId="5" borderId="11" xfId="2" applyNumberFormat="1" applyFont="1" applyFill="1" applyBorder="1" applyAlignment="1">
      <alignment horizontal="center" vertical="center"/>
    </xf>
    <xf numFmtId="165" fontId="0" fillId="2" borderId="11" xfId="2" applyNumberFormat="1" applyFont="1" applyFill="1" applyBorder="1" applyAlignment="1">
      <alignment horizontal="center" vertical="center"/>
    </xf>
    <xf numFmtId="165" fontId="0" fillId="4" borderId="11" xfId="2" applyNumberFormat="1" applyFont="1" applyFill="1" applyBorder="1" applyAlignment="1">
      <alignment horizontal="center" vertical="center"/>
    </xf>
    <xf numFmtId="165" fontId="1" fillId="5" borderId="14" xfId="2" applyNumberFormat="1" applyFont="1" applyFill="1" applyBorder="1" applyAlignment="1">
      <alignment horizontal="center" vertical="center"/>
    </xf>
    <xf numFmtId="165" fontId="1" fillId="2" borderId="14" xfId="2" applyNumberFormat="1" applyFont="1" applyFill="1" applyBorder="1" applyAlignment="1">
      <alignment horizontal="center" vertical="center"/>
    </xf>
    <xf numFmtId="165" fontId="1" fillId="4" borderId="14" xfId="2" applyNumberFormat="1" applyFont="1" applyFill="1" applyBorder="1" applyAlignment="1">
      <alignment horizontal="center" vertical="center"/>
    </xf>
    <xf numFmtId="0" fontId="1" fillId="3" borderId="56" xfId="0" applyFont="1" applyFill="1" applyBorder="1" applyAlignment="1">
      <alignment horizontal="left" vertical="center"/>
    </xf>
    <xf numFmtId="0" fontId="0" fillId="5" borderId="14" xfId="2" applyNumberFormat="1" applyFont="1" applyFill="1" applyBorder="1" applyAlignment="1">
      <alignment horizontal="center" vertical="center"/>
    </xf>
    <xf numFmtId="0" fontId="0" fillId="2" borderId="14" xfId="2" applyNumberFormat="1" applyFont="1" applyFill="1" applyBorder="1" applyAlignment="1">
      <alignment horizontal="center" vertical="center"/>
    </xf>
    <xf numFmtId="0" fontId="0" fillId="4" borderId="14" xfId="2" applyNumberFormat="1" applyFont="1" applyFill="1" applyBorder="1" applyAlignment="1">
      <alignment horizontal="center" vertical="center"/>
    </xf>
    <xf numFmtId="0" fontId="1" fillId="3" borderId="14" xfId="0" applyFont="1" applyFill="1" applyBorder="1" applyAlignment="1">
      <alignment vertical="center"/>
    </xf>
    <xf numFmtId="0" fontId="0" fillId="5" borderId="11" xfId="2" applyNumberFormat="1" applyFont="1" applyFill="1" applyBorder="1" applyAlignment="1">
      <alignment horizontal="center" vertical="center"/>
    </xf>
    <xf numFmtId="0" fontId="0" fillId="2" borderId="11" xfId="2" applyNumberFormat="1" applyFont="1" applyFill="1" applyBorder="1" applyAlignment="1">
      <alignment horizontal="center" vertical="center"/>
    </xf>
    <xf numFmtId="0" fontId="0" fillId="4" borderId="11" xfId="2" applyNumberFormat="1" applyFont="1" applyFill="1" applyBorder="1" applyAlignment="1">
      <alignment horizontal="center" vertical="center"/>
    </xf>
    <xf numFmtId="0" fontId="1" fillId="3" borderId="15" xfId="0" applyFont="1" applyFill="1" applyBorder="1" applyAlignment="1">
      <alignment horizontal="center" vertical="center"/>
    </xf>
    <xf numFmtId="0" fontId="1" fillId="3" borderId="14" xfId="0" applyFont="1" applyFill="1" applyBorder="1" applyAlignment="1">
      <alignment horizontal="center" vertical="center" wrapText="1"/>
    </xf>
    <xf numFmtId="0" fontId="1" fillId="3" borderId="62" xfId="0" applyFont="1" applyFill="1" applyBorder="1" applyAlignment="1">
      <alignment horizontal="left" vertical="center"/>
    </xf>
    <xf numFmtId="0" fontId="1" fillId="6" borderId="0" xfId="0" applyFont="1" applyFill="1" applyAlignment="1">
      <alignment vertical="center"/>
    </xf>
    <xf numFmtId="0" fontId="1" fillId="6" borderId="0" xfId="0" applyFont="1" applyFill="1" applyAlignment="1">
      <alignment horizontal="center" vertical="center"/>
    </xf>
    <xf numFmtId="165" fontId="1" fillId="6" borderId="0" xfId="2" applyNumberFormat="1" applyFont="1" applyFill="1" applyBorder="1" applyAlignment="1">
      <alignment horizontal="center" vertical="center"/>
    </xf>
    <xf numFmtId="165" fontId="0" fillId="6" borderId="0" xfId="2" applyNumberFormat="1" applyFont="1" applyFill="1" applyBorder="1" applyAlignment="1">
      <alignment horizontal="center" vertical="center"/>
    </xf>
    <xf numFmtId="0" fontId="0" fillId="6" borderId="0" xfId="2" applyNumberFormat="1" applyFont="1" applyFill="1" applyBorder="1" applyAlignment="1">
      <alignment horizontal="center" vertical="center"/>
    </xf>
    <xf numFmtId="0" fontId="1" fillId="3" borderId="9" xfId="0" applyFont="1" applyFill="1" applyBorder="1" applyAlignment="1">
      <alignment horizontal="center" vertical="center" wrapText="1"/>
    </xf>
    <xf numFmtId="0" fontId="1" fillId="3" borderId="17" xfId="0" applyFont="1" applyFill="1" applyBorder="1" applyAlignment="1">
      <alignment horizontal="center" vertical="center"/>
    </xf>
    <xf numFmtId="0" fontId="1" fillId="3" borderId="0" xfId="0" applyFont="1" applyFill="1" applyAlignment="1">
      <alignment horizontal="left" vertical="center"/>
    </xf>
    <xf numFmtId="9" fontId="0" fillId="6" borderId="0" xfId="0" applyNumberFormat="1" applyFill="1" applyAlignment="1">
      <alignment horizontal="center" vertical="center"/>
    </xf>
    <xf numFmtId="0" fontId="1" fillId="6" borderId="0" xfId="0" applyFont="1" applyFill="1" applyAlignment="1">
      <alignment horizontal="left" vertical="center"/>
    </xf>
    <xf numFmtId="0" fontId="1" fillId="6" borderId="0" xfId="2" applyNumberFormat="1" applyFont="1" applyFill="1" applyBorder="1" applyAlignment="1">
      <alignment horizontal="center" vertical="center"/>
    </xf>
    <xf numFmtId="0" fontId="0" fillId="5" borderId="11" xfId="1" applyNumberFormat="1" applyFont="1" applyFill="1" applyBorder="1" applyAlignment="1">
      <alignment horizontal="center" vertical="center"/>
    </xf>
    <xf numFmtId="0" fontId="0" fillId="2" borderId="11" xfId="1" applyNumberFormat="1" applyFont="1" applyFill="1" applyBorder="1" applyAlignment="1">
      <alignment horizontal="center" vertical="center"/>
    </xf>
    <xf numFmtId="0" fontId="0" fillId="4" borderId="11" xfId="1" applyNumberFormat="1" applyFont="1" applyFill="1" applyBorder="1" applyAlignment="1">
      <alignment horizontal="center" vertical="center"/>
    </xf>
    <xf numFmtId="0" fontId="0" fillId="3" borderId="18" xfId="0" applyFill="1" applyBorder="1" applyAlignment="1">
      <alignment horizontal="left" vertical="center" wrapText="1"/>
    </xf>
    <xf numFmtId="0" fontId="0" fillId="3" borderId="18" xfId="0" applyFill="1" applyBorder="1" applyAlignment="1">
      <alignment horizontal="left"/>
    </xf>
    <xf numFmtId="0" fontId="0" fillId="3" borderId="62" xfId="0" applyFill="1" applyBorder="1" applyAlignment="1">
      <alignment horizontal="left"/>
    </xf>
    <xf numFmtId="0" fontId="0" fillId="3" borderId="11" xfId="0" applyFill="1" applyBorder="1" applyAlignment="1">
      <alignment horizontal="center"/>
    </xf>
    <xf numFmtId="0" fontId="1" fillId="3" borderId="10" xfId="0" applyFont="1" applyFill="1" applyBorder="1" applyAlignment="1">
      <alignment horizontal="center" vertical="center"/>
    </xf>
    <xf numFmtId="0" fontId="0" fillId="0" borderId="25" xfId="0" applyBorder="1" applyAlignment="1">
      <alignment horizontal="center" vertical="center" wrapText="1"/>
    </xf>
    <xf numFmtId="0" fontId="0" fillId="0" borderId="14" xfId="0" applyBorder="1" applyAlignment="1">
      <alignment horizontal="center" vertical="center" wrapText="1"/>
    </xf>
    <xf numFmtId="0" fontId="0" fillId="0" borderId="50" xfId="0" applyBorder="1" applyAlignment="1">
      <alignment horizontal="center" vertical="center" wrapText="1"/>
    </xf>
    <xf numFmtId="0" fontId="6" fillId="0" borderId="0" xfId="0" applyFont="1"/>
    <xf numFmtId="0" fontId="5" fillId="0" borderId="0" xfId="0" applyFont="1" applyAlignment="1">
      <alignment wrapText="1"/>
    </xf>
    <xf numFmtId="0" fontId="6" fillId="0" borderId="0" xfId="0" applyFont="1" applyAlignment="1">
      <alignment horizontal="center"/>
    </xf>
    <xf numFmtId="0" fontId="1" fillId="11" borderId="0" xfId="0" applyFont="1" applyFill="1" applyAlignment="1">
      <alignment horizontal="center"/>
    </xf>
    <xf numFmtId="0" fontId="0" fillId="6" borderId="0" xfId="0" applyFill="1" applyAlignment="1">
      <alignment horizontal="left"/>
    </xf>
    <xf numFmtId="0" fontId="0" fillId="13" borderId="0" xfId="0" applyFill="1" applyAlignment="1">
      <alignment horizontal="left"/>
    </xf>
    <xf numFmtId="0" fontId="0" fillId="6" borderId="47" xfId="0" applyFill="1" applyBorder="1" applyAlignment="1">
      <alignment horizontal="left" vertical="top"/>
    </xf>
    <xf numFmtId="0" fontId="9" fillId="0" borderId="70"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0" fillId="0" borderId="73" xfId="0" applyBorder="1" applyAlignment="1">
      <alignment horizontal="center"/>
    </xf>
    <xf numFmtId="0" fontId="0" fillId="0" borderId="25" xfId="0" applyBorder="1" applyAlignment="1">
      <alignment horizontal="center"/>
    </xf>
    <xf numFmtId="0" fontId="0" fillId="0" borderId="74" xfId="0" applyBorder="1" applyAlignment="1">
      <alignment horizontal="center"/>
    </xf>
    <xf numFmtId="0" fontId="0" fillId="0" borderId="75" xfId="0" applyBorder="1" applyAlignment="1">
      <alignment horizontal="center"/>
    </xf>
    <xf numFmtId="0" fontId="3" fillId="0" borderId="14" xfId="0" applyFont="1" applyBorder="1" applyAlignment="1">
      <alignment horizontal="center"/>
    </xf>
    <xf numFmtId="0" fontId="3" fillId="0" borderId="76" xfId="0" applyFont="1" applyBorder="1" applyAlignment="1">
      <alignment horizontal="center"/>
    </xf>
    <xf numFmtId="0" fontId="0" fillId="0" borderId="77" xfId="0" applyBorder="1" applyAlignment="1">
      <alignment horizontal="center"/>
    </xf>
    <xf numFmtId="0" fontId="3" fillId="0" borderId="50" xfId="0" applyFont="1" applyBorder="1" applyAlignment="1">
      <alignment horizontal="center"/>
    </xf>
    <xf numFmtId="0" fontId="3" fillId="0" borderId="78" xfId="0" applyFont="1" applyBorder="1" applyAlignment="1">
      <alignment horizontal="center"/>
    </xf>
    <xf numFmtId="0" fontId="0" fillId="0" borderId="73" xfId="0" applyBorder="1" applyAlignment="1">
      <alignment horizontal="center" vertical="center" wrapText="1"/>
    </xf>
    <xf numFmtId="0" fontId="0" fillId="0" borderId="75" xfId="0" applyBorder="1" applyAlignment="1">
      <alignment horizontal="center" vertical="center" wrapText="1"/>
    </xf>
    <xf numFmtId="0" fontId="0" fillId="0" borderId="76" xfId="0" applyBorder="1" applyAlignment="1">
      <alignment horizontal="center"/>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79" xfId="0" applyBorder="1" applyAlignment="1">
      <alignment horizontal="center" vertical="center" wrapText="1"/>
    </xf>
    <xf numFmtId="0" fontId="0" fillId="0" borderId="5" xfId="0" applyBorder="1" applyAlignment="1">
      <alignment horizontal="center" vertical="center" wrapText="1"/>
    </xf>
    <xf numFmtId="0" fontId="0" fillId="0" borderId="80" xfId="0" applyBorder="1" applyAlignment="1">
      <alignment horizontal="center" vertical="center" wrapText="1"/>
    </xf>
    <xf numFmtId="0" fontId="0" fillId="0" borderId="74" xfId="0" applyBorder="1" applyAlignment="1">
      <alignment horizontal="center" vertical="center" wrapText="1"/>
    </xf>
    <xf numFmtId="0" fontId="3" fillId="0" borderId="75" xfId="0" applyFont="1" applyBorder="1" applyAlignment="1">
      <alignment horizontal="center" vertical="center" wrapText="1"/>
    </xf>
    <xf numFmtId="0" fontId="0" fillId="0" borderId="70" xfId="0" applyBorder="1" applyAlignment="1">
      <alignment horizontal="center" vertical="center" wrapText="1"/>
    </xf>
    <xf numFmtId="0" fontId="0" fillId="0" borderId="71" xfId="0" applyBorder="1" applyAlignment="1">
      <alignment horizontal="center" vertical="center" wrapText="1"/>
    </xf>
    <xf numFmtId="0" fontId="1" fillId="4" borderId="9" xfId="0" applyFont="1" applyFill="1" applyBorder="1" applyAlignment="1">
      <alignment horizontal="center" vertical="center" wrapText="1"/>
    </xf>
    <xf numFmtId="0" fontId="0" fillId="0" borderId="11" xfId="0" applyBorder="1" applyAlignment="1">
      <alignment horizontal="center" vertical="center"/>
    </xf>
    <xf numFmtId="0" fontId="7" fillId="0" borderId="0" xfId="0" applyFont="1" applyAlignment="1">
      <alignment horizontal="left" wrapText="1"/>
    </xf>
    <xf numFmtId="0" fontId="10" fillId="0" borderId="0" xfId="0" applyFont="1" applyAlignment="1">
      <alignment vertical="center" wrapText="1"/>
    </xf>
    <xf numFmtId="0" fontId="1" fillId="5" borderId="9" xfId="0" applyFont="1" applyFill="1" applyBorder="1" applyAlignment="1">
      <alignment horizontal="center" vertical="center" wrapText="1"/>
    </xf>
    <xf numFmtId="0" fontId="1" fillId="3" borderId="17" xfId="0" applyFont="1" applyFill="1" applyBorder="1" applyAlignment="1">
      <alignment horizontal="left" vertical="center"/>
    </xf>
    <xf numFmtId="0" fontId="1" fillId="2" borderId="9" xfId="0" applyFont="1" applyFill="1" applyBorder="1" applyAlignment="1">
      <alignment horizontal="center" vertical="center" wrapText="1"/>
    </xf>
    <xf numFmtId="0" fontId="0" fillId="3" borderId="15" xfId="0" applyFill="1" applyBorder="1" applyAlignment="1">
      <alignment horizontal="center" vertical="center"/>
    </xf>
    <xf numFmtId="0" fontId="1" fillId="3" borderId="39" xfId="0" applyFont="1" applyFill="1" applyBorder="1" applyAlignment="1">
      <alignment horizontal="center" vertical="center" wrapText="1"/>
    </xf>
    <xf numFmtId="0" fontId="0" fillId="3" borderId="27" xfId="0" applyFill="1" applyBorder="1" applyAlignment="1">
      <alignment horizontal="center" vertical="center"/>
    </xf>
    <xf numFmtId="0" fontId="0" fillId="3" borderId="21" xfId="0" applyFill="1" applyBorder="1" applyAlignment="1">
      <alignment horizontal="center" vertical="center"/>
    </xf>
    <xf numFmtId="0" fontId="1" fillId="8" borderId="9" xfId="0" applyFont="1" applyFill="1" applyBorder="1" applyAlignment="1">
      <alignment horizontal="center" vertical="center" wrapText="1"/>
    </xf>
    <xf numFmtId="0" fontId="0" fillId="8" borderId="14" xfId="0" applyFill="1" applyBorder="1" applyAlignment="1">
      <alignment horizontal="center" vertical="center"/>
    </xf>
    <xf numFmtId="0" fontId="0" fillId="8" borderId="11" xfId="0" applyFill="1" applyBorder="1" applyAlignment="1">
      <alignment horizontal="center" vertical="center"/>
    </xf>
    <xf numFmtId="0" fontId="0" fillId="2" borderId="24" xfId="0" applyFill="1" applyBorder="1" applyAlignment="1">
      <alignment horizontal="center" vertical="center"/>
    </xf>
    <xf numFmtId="0" fontId="0" fillId="5" borderId="24" xfId="0" applyFill="1" applyBorder="1" applyAlignment="1">
      <alignment horizontal="center" vertical="center"/>
    </xf>
    <xf numFmtId="0" fontId="0" fillId="4" borderId="24" xfId="0" applyFill="1" applyBorder="1" applyAlignment="1">
      <alignment horizontal="center" vertical="center"/>
    </xf>
    <xf numFmtId="0" fontId="0" fillId="3" borderId="44" xfId="0" applyFill="1" applyBorder="1" applyAlignment="1">
      <alignment horizontal="center" vertical="center"/>
    </xf>
    <xf numFmtId="0" fontId="0" fillId="3" borderId="38" xfId="0" applyFill="1" applyBorder="1" applyAlignment="1">
      <alignment horizontal="center" vertical="center"/>
    </xf>
    <xf numFmtId="0" fontId="1" fillId="3" borderId="12" xfId="0" applyFont="1" applyFill="1" applyBorder="1" applyAlignment="1">
      <alignment horizontal="center" vertical="center" wrapText="1"/>
    </xf>
    <xf numFmtId="0" fontId="8" fillId="0" borderId="0" xfId="0" applyFont="1" applyAlignment="1">
      <alignment horizontal="justify" vertical="center" wrapText="1"/>
    </xf>
    <xf numFmtId="0" fontId="6" fillId="0" borderId="0" xfId="0" applyFont="1" applyAlignment="1">
      <alignment horizontal="center" vertical="center"/>
    </xf>
    <xf numFmtId="0" fontId="0" fillId="6" borderId="11" xfId="0" applyFill="1" applyBorder="1" applyAlignment="1">
      <alignment horizontal="center" vertical="center"/>
    </xf>
    <xf numFmtId="0" fontId="1" fillId="6" borderId="9" xfId="0" applyFont="1" applyFill="1" applyBorder="1" applyAlignment="1">
      <alignment horizontal="center" vertical="center" wrapText="1"/>
    </xf>
    <xf numFmtId="0" fontId="0" fillId="6" borderId="14" xfId="0" applyFill="1" applyBorder="1" applyAlignment="1">
      <alignment horizontal="center" vertical="center"/>
    </xf>
    <xf numFmtId="0" fontId="5" fillId="3" borderId="17" xfId="0" applyFont="1" applyFill="1" applyBorder="1" applyAlignment="1">
      <alignment horizontal="center" vertical="center"/>
    </xf>
    <xf numFmtId="0" fontId="5" fillId="3" borderId="10" xfId="0" applyFont="1" applyFill="1" applyBorder="1" applyAlignment="1">
      <alignment horizontal="center" vertical="center" wrapText="1"/>
    </xf>
    <xf numFmtId="0" fontId="6" fillId="4" borderId="57" xfId="0" applyFont="1" applyFill="1" applyBorder="1" applyAlignment="1">
      <alignment horizontal="left" vertical="center" wrapText="1"/>
    </xf>
    <xf numFmtId="0" fontId="6" fillId="4" borderId="59" xfId="0" applyFont="1" applyFill="1" applyBorder="1" applyAlignment="1">
      <alignment horizontal="center" vertical="center"/>
    </xf>
    <xf numFmtId="0" fontId="6" fillId="2" borderId="18" xfId="0" applyFont="1" applyFill="1" applyBorder="1" applyAlignment="1">
      <alignment horizontal="left" vertical="center" wrapText="1"/>
    </xf>
    <xf numFmtId="0" fontId="6" fillId="2" borderId="15" xfId="0" applyFont="1" applyFill="1" applyBorder="1" applyAlignment="1">
      <alignment horizontal="center" vertical="center"/>
    </xf>
    <xf numFmtId="0" fontId="6" fillId="14" borderId="18" xfId="0" applyFont="1" applyFill="1" applyBorder="1" applyAlignment="1">
      <alignment horizontal="left" vertical="center" wrapText="1"/>
    </xf>
    <xf numFmtId="0" fontId="6" fillId="14" borderId="15" xfId="0" applyFont="1" applyFill="1" applyBorder="1" applyAlignment="1">
      <alignment horizontal="center" vertical="center"/>
    </xf>
    <xf numFmtId="0" fontId="6" fillId="5" borderId="18" xfId="0" applyFont="1" applyFill="1" applyBorder="1" applyAlignment="1">
      <alignment horizontal="left" vertical="center" wrapText="1"/>
    </xf>
    <xf numFmtId="0" fontId="6" fillId="5" borderId="15" xfId="0" applyFont="1" applyFill="1" applyBorder="1" applyAlignment="1">
      <alignment horizontal="center" vertical="center"/>
    </xf>
    <xf numFmtId="0" fontId="6" fillId="10" borderId="56" xfId="0" applyFont="1" applyFill="1" applyBorder="1" applyAlignment="1">
      <alignment horizontal="left" vertical="center" wrapText="1"/>
    </xf>
    <xf numFmtId="0" fontId="6" fillId="10" borderId="38" xfId="0" applyFont="1" applyFill="1" applyBorder="1" applyAlignment="1">
      <alignment horizontal="center" vertical="center"/>
    </xf>
    <xf numFmtId="0" fontId="8" fillId="9" borderId="62" xfId="0" applyFont="1" applyFill="1" applyBorder="1" applyAlignment="1">
      <alignment horizontal="justify" vertical="center" wrapText="1"/>
    </xf>
    <xf numFmtId="0" fontId="6" fillId="9" borderId="12" xfId="0" applyFont="1" applyFill="1" applyBorder="1" applyAlignment="1">
      <alignment horizontal="center" vertical="center"/>
    </xf>
    <xf numFmtId="0" fontId="1" fillId="0" borderId="0" xfId="0" applyFont="1" applyProtection="1">
      <protection locked="0"/>
    </xf>
    <xf numFmtId="0" fontId="0" fillId="0" borderId="0" xfId="0" applyProtection="1">
      <protection locked="0"/>
    </xf>
    <xf numFmtId="9" fontId="0" fillId="2" borderId="17" xfId="0" applyNumberFormat="1" applyFill="1" applyBorder="1"/>
    <xf numFmtId="9" fontId="0" fillId="2" borderId="9" xfId="0" applyNumberFormat="1" applyFill="1" applyBorder="1"/>
    <xf numFmtId="164" fontId="0" fillId="2" borderId="9" xfId="0" applyNumberFormat="1" applyFill="1" applyBorder="1"/>
    <xf numFmtId="0" fontId="1" fillId="2" borderId="18" xfId="0" applyFont="1" applyFill="1" applyBorder="1"/>
    <xf numFmtId="0" fontId="1" fillId="2" borderId="14" xfId="0" applyFont="1" applyFill="1" applyBorder="1"/>
    <xf numFmtId="166" fontId="0" fillId="2" borderId="62" xfId="0" applyNumberFormat="1" applyFill="1" applyBorder="1"/>
    <xf numFmtId="166" fontId="0" fillId="2" borderId="11" xfId="0" applyNumberFormat="1" applyFill="1" applyBorder="1"/>
    <xf numFmtId="44" fontId="0" fillId="0" borderId="0" xfId="0" applyNumberFormat="1" applyProtection="1">
      <protection locked="0"/>
    </xf>
    <xf numFmtId="164" fontId="0" fillId="3" borderId="9" xfId="3" applyNumberFormat="1" applyFont="1" applyFill="1" applyBorder="1" applyProtection="1">
      <protection locked="0"/>
    </xf>
    <xf numFmtId="164" fontId="0" fillId="3" borderId="10" xfId="3" applyNumberFormat="1" applyFont="1" applyFill="1" applyBorder="1" applyProtection="1">
      <protection locked="0"/>
    </xf>
    <xf numFmtId="0" fontId="0" fillId="4" borderId="27" xfId="0" applyFill="1" applyBorder="1"/>
    <xf numFmtId="0" fontId="0" fillId="4" borderId="29" xfId="0" applyFill="1" applyBorder="1"/>
    <xf numFmtId="0" fontId="0" fillId="4" borderId="21" xfId="0" applyFill="1" applyBorder="1"/>
    <xf numFmtId="0" fontId="0" fillId="4" borderId="64" xfId="0" applyFill="1" applyBorder="1"/>
    <xf numFmtId="0" fontId="0" fillId="4" borderId="27" xfId="0" applyFill="1" applyBorder="1" applyAlignment="1">
      <alignment vertical="center"/>
    </xf>
    <xf numFmtId="0" fontId="0" fillId="4" borderId="29" xfId="0" applyFill="1" applyBorder="1" applyAlignment="1">
      <alignment vertical="center"/>
    </xf>
    <xf numFmtId="6" fontId="0" fillId="5" borderId="27" xfId="0" applyNumberFormat="1" applyFill="1" applyBorder="1"/>
    <xf numFmtId="0" fontId="0" fillId="5" borderId="33" xfId="0" applyFill="1" applyBorder="1"/>
    <xf numFmtId="0" fontId="0" fillId="5" borderId="27" xfId="0" applyFill="1" applyBorder="1"/>
    <xf numFmtId="3" fontId="0" fillId="5" borderId="27" xfId="0" applyNumberFormat="1" applyFill="1" applyBorder="1"/>
    <xf numFmtId="3" fontId="0" fillId="5" borderId="33" xfId="0" applyNumberFormat="1" applyFill="1" applyBorder="1"/>
    <xf numFmtId="0" fontId="0" fillId="5" borderId="33" xfId="0" applyFill="1" applyBorder="1" applyAlignment="1">
      <alignment vertical="center"/>
    </xf>
    <xf numFmtId="0" fontId="0" fillId="5" borderId="23" xfId="0" applyFill="1" applyBorder="1"/>
    <xf numFmtId="6" fontId="0" fillId="5" borderId="27" xfId="0" applyNumberFormat="1" applyFill="1" applyBorder="1" applyAlignment="1">
      <alignment vertical="center"/>
    </xf>
    <xf numFmtId="0" fontId="0" fillId="5" borderId="21" xfId="0" applyFill="1" applyBorder="1"/>
    <xf numFmtId="0" fontId="2" fillId="4" borderId="25" xfId="2" applyNumberFormat="1" applyFont="1" applyFill="1" applyBorder="1" applyAlignment="1">
      <alignment horizontal="center" vertical="center"/>
    </xf>
    <xf numFmtId="168" fontId="0" fillId="0" borderId="0" xfId="1" applyNumberFormat="1" applyFont="1" applyAlignment="1">
      <alignment horizontal="right"/>
    </xf>
    <xf numFmtId="10" fontId="0" fillId="2" borderId="9" xfId="0" applyNumberFormat="1" applyFill="1" applyBorder="1"/>
    <xf numFmtId="0" fontId="2" fillId="5" borderId="44" xfId="2" applyNumberFormat="1" applyFont="1" applyFill="1" applyBorder="1" applyAlignment="1">
      <alignment vertical="center"/>
    </xf>
    <xf numFmtId="0" fontId="2" fillId="5" borderId="81" xfId="2" applyNumberFormat="1" applyFont="1" applyFill="1" applyBorder="1" applyAlignment="1">
      <alignment vertical="center"/>
    </xf>
    <xf numFmtId="0" fontId="2" fillId="5" borderId="54" xfId="2" applyNumberFormat="1" applyFont="1" applyFill="1" applyBorder="1" applyAlignment="1">
      <alignment vertical="center"/>
    </xf>
    <xf numFmtId="0" fontId="2" fillId="5" borderId="55" xfId="2" applyNumberFormat="1" applyFont="1" applyFill="1" applyBorder="1" applyAlignment="1">
      <alignment vertical="center"/>
    </xf>
    <xf numFmtId="0" fontId="2" fillId="5" borderId="26" xfId="2" applyNumberFormat="1" applyFont="1" applyFill="1" applyBorder="1" applyAlignment="1">
      <alignment vertical="center"/>
    </xf>
    <xf numFmtId="0" fontId="2" fillId="5" borderId="16" xfId="2" applyNumberFormat="1" applyFont="1" applyFill="1" applyBorder="1" applyAlignment="1">
      <alignment vertical="center"/>
    </xf>
    <xf numFmtId="0" fontId="2" fillId="5" borderId="24" xfId="2" applyNumberFormat="1" applyFont="1" applyFill="1" applyBorder="1" applyAlignment="1">
      <alignment vertical="center"/>
    </xf>
    <xf numFmtId="0" fontId="2" fillId="5" borderId="25" xfId="2" applyNumberFormat="1" applyFont="1" applyFill="1" applyBorder="1" applyAlignment="1">
      <alignment horizontal="center" vertical="center"/>
    </xf>
    <xf numFmtId="0" fontId="2" fillId="5" borderId="24" xfId="2" applyNumberFormat="1" applyFont="1" applyFill="1" applyBorder="1" applyAlignment="1">
      <alignment horizontal="center" vertical="center"/>
    </xf>
    <xf numFmtId="0" fontId="2" fillId="5" borderId="65" xfId="2" applyNumberFormat="1" applyFont="1" applyFill="1" applyBorder="1" applyAlignment="1">
      <alignment vertical="center"/>
    </xf>
    <xf numFmtId="0" fontId="2" fillId="4" borderId="24" xfId="2" applyNumberFormat="1" applyFont="1" applyFill="1" applyBorder="1" applyAlignment="1">
      <alignment vertical="center"/>
    </xf>
    <xf numFmtId="0" fontId="2" fillId="5" borderId="65" xfId="2" applyNumberFormat="1" applyFont="1" applyFill="1" applyBorder="1" applyAlignment="1">
      <alignment horizontal="center" vertical="center"/>
    </xf>
    <xf numFmtId="0" fontId="2" fillId="4" borderId="7" xfId="2" applyNumberFormat="1" applyFont="1" applyFill="1" applyBorder="1" applyAlignment="1">
      <alignment horizontal="center" vertical="center"/>
    </xf>
    <xf numFmtId="0" fontId="0" fillId="4" borderId="18" xfId="0" applyFill="1" applyBorder="1"/>
    <xf numFmtId="0" fontId="0" fillId="4" borderId="62" xfId="0" applyFill="1" applyBorder="1"/>
    <xf numFmtId="0" fontId="1" fillId="12" borderId="14" xfId="0" applyFont="1" applyFill="1" applyBorder="1"/>
    <xf numFmtId="0" fontId="1" fillId="12" borderId="15" xfId="0" applyFont="1" applyFill="1" applyBorder="1"/>
    <xf numFmtId="166" fontId="0" fillId="12" borderId="11" xfId="0" applyNumberFormat="1" applyFill="1" applyBorder="1"/>
    <xf numFmtId="166" fontId="0" fillId="12" borderId="12" xfId="0" applyNumberFormat="1" applyFill="1" applyBorder="1"/>
    <xf numFmtId="10" fontId="0" fillId="2" borderId="27" xfId="0" applyNumberFormat="1" applyFill="1" applyBorder="1" applyAlignment="1">
      <alignment horizontal="center"/>
    </xf>
    <xf numFmtId="10" fontId="0" fillId="2" borderId="21" xfId="0" applyNumberFormat="1" applyFill="1" applyBorder="1" applyAlignment="1">
      <alignment horizontal="center"/>
    </xf>
    <xf numFmtId="0" fontId="0" fillId="7" borderId="15" xfId="0" applyFill="1" applyBorder="1"/>
    <xf numFmtId="0" fontId="0" fillId="7" borderId="12" xfId="0" applyFill="1" applyBorder="1"/>
    <xf numFmtId="0" fontId="0" fillId="7" borderId="15" xfId="0" applyFill="1" applyBorder="1" applyAlignment="1">
      <alignment wrapText="1"/>
    </xf>
    <xf numFmtId="0" fontId="11" fillId="0" borderId="0" xfId="0" applyFont="1"/>
    <xf numFmtId="0" fontId="12" fillId="0" borderId="0" xfId="0" applyFont="1"/>
    <xf numFmtId="169" fontId="0" fillId="0" borderId="0" xfId="0" applyNumberFormat="1"/>
    <xf numFmtId="165" fontId="0" fillId="5" borderId="27" xfId="2" applyNumberFormat="1" applyFont="1" applyFill="1" applyBorder="1"/>
    <xf numFmtId="165" fontId="0" fillId="5" borderId="33" xfId="2" applyNumberFormat="1" applyFont="1" applyFill="1" applyBorder="1"/>
    <xf numFmtId="0" fontId="5" fillId="0" borderId="35" xfId="0" applyFont="1" applyBorder="1" applyAlignment="1">
      <alignment horizontal="center"/>
    </xf>
    <xf numFmtId="0" fontId="6" fillId="0" borderId="36" xfId="0" applyFont="1" applyBorder="1" applyAlignment="1">
      <alignment horizontal="center" wrapText="1"/>
    </xf>
    <xf numFmtId="0" fontId="6" fillId="0" borderId="40" xfId="0" applyFont="1" applyBorder="1" applyAlignment="1">
      <alignment horizontal="center" vertical="center" wrapText="1"/>
    </xf>
    <xf numFmtId="0" fontId="6" fillId="0" borderId="35" xfId="0" applyFont="1" applyBorder="1" applyAlignment="1">
      <alignment horizontal="center" vertical="center"/>
    </xf>
    <xf numFmtId="0" fontId="6" fillId="0" borderId="1" xfId="0" applyFont="1" applyBorder="1" applyAlignment="1">
      <alignment horizontal="left" vertical="center" wrapText="1"/>
    </xf>
    <xf numFmtId="0" fontId="6" fillId="6" borderId="35" xfId="0" applyFont="1" applyFill="1" applyBorder="1" applyAlignment="1">
      <alignment horizontal="left" vertical="center"/>
    </xf>
    <xf numFmtId="0" fontId="5" fillId="6" borderId="35" xfId="0" applyFont="1" applyFill="1" applyBorder="1" applyAlignment="1">
      <alignment horizontal="left" vertical="center"/>
    </xf>
    <xf numFmtId="0" fontId="6" fillId="0" borderId="35" xfId="0" applyFont="1" applyBorder="1"/>
    <xf numFmtId="0" fontId="6" fillId="0" borderId="42" xfId="0" applyFont="1" applyBorder="1" applyAlignment="1">
      <alignment horizontal="center" vertical="center"/>
    </xf>
    <xf numFmtId="0" fontId="6" fillId="0" borderId="45" xfId="0" applyFont="1" applyBorder="1" applyAlignment="1">
      <alignment horizontal="center" vertical="center"/>
    </xf>
    <xf numFmtId="0" fontId="6" fillId="0" borderId="4" xfId="0" applyFont="1" applyBorder="1" applyAlignment="1">
      <alignment horizontal="left" vertical="center" wrapText="1"/>
    </xf>
    <xf numFmtId="0" fontId="6" fillId="6" borderId="45" xfId="0" applyFont="1" applyFill="1" applyBorder="1" applyAlignment="1">
      <alignment horizontal="left" vertical="center"/>
    </xf>
    <xf numFmtId="0" fontId="6" fillId="0" borderId="45" xfId="0" applyFont="1" applyBorder="1" applyAlignment="1">
      <alignment horizontal="left" vertical="center" wrapText="1"/>
    </xf>
    <xf numFmtId="0" fontId="6" fillId="0" borderId="45" xfId="0" applyFont="1" applyBorder="1"/>
    <xf numFmtId="0" fontId="6" fillId="0" borderId="34" xfId="0" applyFont="1" applyBorder="1" applyAlignment="1">
      <alignment horizontal="left" vertical="center" wrapText="1"/>
    </xf>
    <xf numFmtId="0" fontId="6" fillId="0" borderId="83" xfId="0" applyFont="1" applyBorder="1" applyAlignment="1">
      <alignment horizontal="left" vertical="center" wrapText="1"/>
    </xf>
    <xf numFmtId="0" fontId="6" fillId="0" borderId="42" xfId="0" applyFont="1" applyBorder="1" applyAlignment="1">
      <alignment horizontal="center" vertical="center" wrapText="1"/>
    </xf>
    <xf numFmtId="0" fontId="6" fillId="6" borderId="45" xfId="0" applyFont="1" applyFill="1" applyBorder="1"/>
    <xf numFmtId="0" fontId="6" fillId="0" borderId="83" xfId="0" applyFont="1" applyBorder="1"/>
    <xf numFmtId="0" fontId="5" fillId="0" borderId="83" xfId="0" applyFont="1" applyBorder="1"/>
    <xf numFmtId="0" fontId="6" fillId="0" borderId="34" xfId="0" applyFont="1" applyBorder="1" applyAlignment="1">
      <alignment horizontal="left" vertical="center"/>
    </xf>
    <xf numFmtId="0" fontId="6" fillId="0" borderId="43" xfId="0" applyFont="1" applyBorder="1" applyAlignment="1">
      <alignment horizontal="center" vertical="center"/>
    </xf>
    <xf numFmtId="0" fontId="5" fillId="0" borderId="45" xfId="0" applyFont="1" applyBorder="1" applyAlignment="1">
      <alignment horizontal="center" vertical="center"/>
    </xf>
    <xf numFmtId="0" fontId="6" fillId="6" borderId="42" xfId="0" applyFont="1" applyFill="1" applyBorder="1" applyAlignment="1">
      <alignment horizontal="center" vertical="center" wrapText="1"/>
    </xf>
    <xf numFmtId="0" fontId="5" fillId="0" borderId="34" xfId="0" applyFont="1" applyBorder="1" applyAlignment="1">
      <alignment horizontal="center" vertical="center"/>
    </xf>
    <xf numFmtId="0" fontId="6" fillId="0" borderId="43" xfId="0" applyFont="1" applyBorder="1" applyAlignment="1">
      <alignment horizontal="center" vertical="center" wrapText="1"/>
    </xf>
    <xf numFmtId="0" fontId="6" fillId="0" borderId="42" xfId="0" applyFont="1" applyBorder="1" applyAlignment="1">
      <alignment horizontal="center"/>
    </xf>
    <xf numFmtId="0" fontId="6" fillId="0" borderId="43" xfId="0" applyFont="1" applyBorder="1" applyAlignment="1">
      <alignment horizontal="center"/>
    </xf>
    <xf numFmtId="0" fontId="6" fillId="0" borderId="34" xfId="0" applyFont="1" applyBorder="1" applyAlignment="1">
      <alignment horizontal="center" vertical="center"/>
    </xf>
    <xf numFmtId="0" fontId="6" fillId="0" borderId="83" xfId="0" applyFont="1" applyBorder="1" applyAlignment="1">
      <alignment horizontal="center" vertical="center"/>
    </xf>
    <xf numFmtId="0" fontId="6" fillId="0" borderId="34" xfId="0" applyFont="1" applyBorder="1" applyAlignment="1">
      <alignment horizontal="center"/>
    </xf>
    <xf numFmtId="0" fontId="6" fillId="0" borderId="45" xfId="0" applyFont="1" applyBorder="1" applyAlignment="1">
      <alignment vertical="center"/>
    </xf>
    <xf numFmtId="0" fontId="5" fillId="6" borderId="45" xfId="0" applyFont="1" applyFill="1" applyBorder="1" applyAlignment="1">
      <alignment horizontal="left" vertical="center"/>
    </xf>
    <xf numFmtId="0" fontId="6" fillId="0" borderId="45" xfId="0" applyFont="1" applyBorder="1" applyAlignment="1">
      <alignment wrapText="1"/>
    </xf>
    <xf numFmtId="0" fontId="6" fillId="0" borderId="28" xfId="0" applyFont="1" applyBorder="1" applyAlignment="1">
      <alignment horizontal="center" vertical="center"/>
    </xf>
    <xf numFmtId="0" fontId="6" fillId="0" borderId="43" xfId="0" applyFont="1" applyBorder="1"/>
    <xf numFmtId="0" fontId="6" fillId="0" borderId="45" xfId="0" applyFont="1" applyBorder="1" applyAlignment="1">
      <alignment horizontal="center"/>
    </xf>
    <xf numFmtId="0" fontId="5" fillId="0" borderId="45" xfId="0" applyFont="1" applyBorder="1"/>
    <xf numFmtId="0" fontId="5" fillId="6" borderId="45" xfId="0" applyFont="1" applyFill="1" applyBorder="1"/>
    <xf numFmtId="0" fontId="6" fillId="0" borderId="45" xfId="0" applyFont="1" applyBorder="1" applyAlignment="1">
      <alignment vertical="center" wrapText="1"/>
    </xf>
    <xf numFmtId="0" fontId="6" fillId="0" borderId="45" xfId="0" applyFont="1" applyBorder="1" applyAlignment="1">
      <alignment horizontal="left"/>
    </xf>
    <xf numFmtId="0" fontId="6" fillId="0" borderId="36" xfId="0" applyFont="1" applyBorder="1"/>
    <xf numFmtId="0" fontId="6" fillId="0" borderId="36" xfId="0" applyFont="1" applyBorder="1" applyAlignment="1">
      <alignment horizontal="center"/>
    </xf>
    <xf numFmtId="0" fontId="6" fillId="0" borderId="36" xfId="0" applyFont="1" applyBorder="1" applyAlignment="1">
      <alignment horizontal="left"/>
    </xf>
    <xf numFmtId="0" fontId="6" fillId="0" borderId="35" xfId="0" applyFont="1" applyBorder="1" applyAlignment="1">
      <alignment horizontal="left" vertical="center"/>
    </xf>
    <xf numFmtId="0" fontId="5" fillId="0" borderId="35" xfId="0" applyFont="1" applyBorder="1" applyAlignment="1">
      <alignment horizontal="left" vertical="center"/>
    </xf>
    <xf numFmtId="0" fontId="6" fillId="0" borderId="49" xfId="0" applyFont="1" applyBorder="1" applyAlignment="1">
      <alignment horizontal="center"/>
    </xf>
    <xf numFmtId="0" fontId="6" fillId="0" borderId="45" xfId="0" applyFont="1" applyBorder="1" applyAlignment="1">
      <alignment horizontal="left" vertical="center"/>
    </xf>
    <xf numFmtId="0" fontId="5" fillId="0" borderId="45" xfId="0" applyFont="1" applyBorder="1" applyAlignment="1">
      <alignment horizontal="left" vertical="center" wrapText="1"/>
    </xf>
    <xf numFmtId="0" fontId="6" fillId="0" borderId="35" xfId="0" applyFont="1" applyBorder="1" applyAlignment="1">
      <alignment vertical="center"/>
    </xf>
    <xf numFmtId="0" fontId="6" fillId="0" borderId="36" xfId="0" applyFont="1" applyBorder="1" applyAlignment="1">
      <alignment horizontal="center" vertical="center"/>
    </xf>
    <xf numFmtId="0" fontId="6" fillId="0" borderId="35" xfId="0" applyFont="1" applyBorder="1" applyAlignment="1">
      <alignment horizontal="center" wrapText="1"/>
    </xf>
    <xf numFmtId="0" fontId="6" fillId="0" borderId="45" xfId="0" applyFont="1" applyBorder="1" applyAlignment="1">
      <alignment horizontal="center" wrapText="1"/>
    </xf>
    <xf numFmtId="0" fontId="6" fillId="0" borderId="35" xfId="0" applyFont="1" applyBorder="1" applyAlignment="1">
      <alignment wrapText="1"/>
    </xf>
    <xf numFmtId="0" fontId="6" fillId="0" borderId="58" xfId="0" applyFont="1" applyBorder="1" applyAlignment="1">
      <alignment horizontal="center" vertical="center"/>
    </xf>
    <xf numFmtId="0" fontId="6" fillId="0" borderId="58" xfId="0" applyFont="1" applyBorder="1" applyAlignment="1">
      <alignment horizontal="center" wrapText="1"/>
    </xf>
    <xf numFmtId="0" fontId="6" fillId="0" borderId="58" xfId="0" applyFont="1" applyBorder="1"/>
    <xf numFmtId="0" fontId="6" fillId="0" borderId="58" xfId="0" applyFont="1" applyBorder="1" applyAlignment="1">
      <alignment horizontal="center" vertical="center" wrapText="1"/>
    </xf>
    <xf numFmtId="0" fontId="6" fillId="0" borderId="58" xfId="0" applyFont="1" applyBorder="1" applyAlignment="1">
      <alignment wrapText="1"/>
    </xf>
    <xf numFmtId="0" fontId="6" fillId="0" borderId="58" xfId="0" applyFont="1" applyBorder="1" applyAlignment="1">
      <alignment horizontal="center"/>
    </xf>
    <xf numFmtId="0" fontId="6" fillId="0" borderId="58" xfId="0" applyFont="1" applyBorder="1" applyAlignment="1">
      <alignment horizontal="left"/>
    </xf>
    <xf numFmtId="0" fontId="6" fillId="0" borderId="0" xfId="0" applyFont="1" applyAlignment="1">
      <alignment vertical="center"/>
    </xf>
    <xf numFmtId="0" fontId="6" fillId="0" borderId="58" xfId="0" applyFont="1" applyBorder="1" applyAlignment="1">
      <alignment vertical="center"/>
    </xf>
    <xf numFmtId="0" fontId="6" fillId="0" borderId="0" xfId="0" applyFont="1" applyAlignment="1">
      <alignment horizontal="left" vertical="top"/>
    </xf>
    <xf numFmtId="0" fontId="5" fillId="0" borderId="0" xfId="0" applyFont="1" applyAlignment="1">
      <alignment horizontal="left" vertical="center"/>
    </xf>
    <xf numFmtId="0" fontId="6" fillId="8" borderId="1" xfId="0" applyFont="1" applyFill="1" applyBorder="1" applyAlignment="1">
      <alignment horizontal="center" wrapText="1"/>
    </xf>
    <xf numFmtId="0" fontId="6" fillId="8" borderId="13" xfId="0" applyFont="1" applyFill="1" applyBorder="1" applyAlignment="1">
      <alignment horizontal="center" wrapText="1"/>
    </xf>
    <xf numFmtId="0" fontId="6" fillId="3" borderId="3" xfId="0" applyFont="1" applyFill="1" applyBorder="1" applyAlignment="1">
      <alignment horizontal="center" wrapText="1"/>
    </xf>
    <xf numFmtId="0" fontId="6" fillId="0" borderId="0" xfId="0" applyFont="1" applyAlignment="1">
      <alignment horizontal="center" wrapText="1"/>
    </xf>
    <xf numFmtId="0" fontId="6" fillId="0" borderId="0" xfId="0" applyFont="1" applyAlignment="1">
      <alignment wrapText="1"/>
    </xf>
    <xf numFmtId="0" fontId="5" fillId="4" borderId="0" xfId="0" applyFont="1" applyFill="1" applyAlignment="1">
      <alignment horizontal="center"/>
    </xf>
    <xf numFmtId="0" fontId="6" fillId="15" borderId="0" xfId="0" applyFont="1" applyFill="1" applyAlignment="1">
      <alignment horizontal="center"/>
    </xf>
    <xf numFmtId="0" fontId="5" fillId="4" borderId="1" xfId="0" applyFont="1" applyFill="1" applyBorder="1" applyAlignment="1">
      <alignment horizontal="center" wrapText="1"/>
    </xf>
    <xf numFmtId="0" fontId="5" fillId="4" borderId="2" xfId="0" applyFont="1" applyFill="1" applyBorder="1" applyAlignment="1">
      <alignment horizontal="center" wrapText="1"/>
    </xf>
    <xf numFmtId="0" fontId="5" fillId="4" borderId="19" xfId="0" applyFont="1" applyFill="1" applyBorder="1" applyAlignment="1">
      <alignment horizontal="center" wrapText="1"/>
    </xf>
    <xf numFmtId="0" fontId="5" fillId="4" borderId="13" xfId="0" applyFont="1" applyFill="1" applyBorder="1" applyAlignment="1">
      <alignment horizontal="center" wrapText="1"/>
    </xf>
    <xf numFmtId="0" fontId="5" fillId="2" borderId="19" xfId="0" applyFont="1" applyFill="1" applyBorder="1" applyAlignment="1">
      <alignment horizontal="center" wrapText="1"/>
    </xf>
    <xf numFmtId="0" fontId="5" fillId="4" borderId="9" xfId="0" applyFont="1" applyFill="1" applyBorder="1" applyAlignment="1">
      <alignment horizontal="center" wrapText="1"/>
    </xf>
    <xf numFmtId="0" fontId="5" fillId="0" borderId="0" xfId="0" applyFont="1"/>
    <xf numFmtId="0" fontId="5" fillId="4" borderId="6" xfId="0" applyFont="1" applyFill="1" applyBorder="1" applyAlignment="1">
      <alignment horizontal="center" wrapText="1"/>
    </xf>
    <xf numFmtId="0" fontId="5" fillId="4" borderId="16" xfId="0" applyFont="1" applyFill="1" applyBorder="1" applyAlignment="1">
      <alignment horizontal="center" wrapText="1"/>
    </xf>
    <xf numFmtId="0" fontId="5" fillId="4" borderId="7" xfId="0" applyFont="1" applyFill="1" applyBorder="1" applyAlignment="1">
      <alignment horizontal="center" wrapText="1"/>
    </xf>
    <xf numFmtId="0" fontId="5" fillId="2" borderId="7" xfId="0" applyFont="1" applyFill="1" applyBorder="1" applyAlignment="1">
      <alignment horizontal="center" wrapText="1"/>
    </xf>
    <xf numFmtId="0" fontId="5" fillId="2" borderId="65" xfId="0" applyFont="1" applyFill="1" applyBorder="1" applyAlignment="1">
      <alignment horizontal="center" wrapText="1"/>
    </xf>
    <xf numFmtId="0" fontId="6" fillId="7" borderId="0" xfId="0" applyFont="1" applyFill="1"/>
    <xf numFmtId="0" fontId="6" fillId="7" borderId="0" xfId="0" applyFont="1" applyFill="1" applyAlignment="1">
      <alignment wrapText="1"/>
    </xf>
    <xf numFmtId="0" fontId="6" fillId="15" borderId="0" xfId="0" applyFont="1" applyFill="1" applyAlignment="1">
      <alignment wrapText="1"/>
    </xf>
    <xf numFmtId="0" fontId="6" fillId="15" borderId="0" xfId="0" applyFont="1" applyFill="1"/>
    <xf numFmtId="0" fontId="6" fillId="15" borderId="0" xfId="0" applyFont="1" applyFill="1" applyAlignment="1">
      <alignment vertical="center"/>
    </xf>
    <xf numFmtId="0" fontId="6" fillId="15" borderId="0" xfId="0" applyFont="1" applyFill="1" applyAlignment="1">
      <alignment vertical="center" wrapText="1"/>
    </xf>
    <xf numFmtId="0" fontId="6" fillId="7" borderId="0" xfId="0" applyFont="1" applyFill="1" applyAlignment="1">
      <alignment vertical="center" wrapText="1"/>
    </xf>
    <xf numFmtId="0" fontId="6" fillId="3" borderId="17"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2" xfId="0" applyFont="1" applyFill="1" applyBorder="1" applyAlignment="1">
      <alignment horizontal="center" vertical="center" wrapText="1"/>
    </xf>
    <xf numFmtId="165" fontId="6" fillId="3" borderId="9" xfId="2" applyNumberFormat="1" applyFont="1" applyFill="1" applyBorder="1" applyAlignment="1">
      <alignment horizontal="center" vertical="center" wrapText="1"/>
    </xf>
    <xf numFmtId="165" fontId="6" fillId="3" borderId="2" xfId="2" applyNumberFormat="1" applyFont="1" applyFill="1" applyBorder="1" applyAlignment="1">
      <alignment horizontal="center" vertical="center" wrapText="1"/>
    </xf>
    <xf numFmtId="165" fontId="6" fillId="3" borderId="14" xfId="2" applyNumberFormat="1" applyFont="1" applyFill="1" applyBorder="1" applyAlignment="1">
      <alignment horizontal="center" vertical="center" wrapText="1"/>
    </xf>
    <xf numFmtId="0" fontId="6" fillId="3" borderId="14" xfId="0" applyFont="1" applyFill="1" applyBorder="1" applyAlignment="1">
      <alignment horizontal="center" vertical="center" wrapText="1"/>
    </xf>
    <xf numFmtId="9" fontId="6" fillId="5" borderId="9" xfId="3" applyFont="1" applyFill="1" applyBorder="1" applyAlignment="1">
      <alignment horizontal="center" vertical="center" wrapText="1"/>
    </xf>
    <xf numFmtId="0" fontId="6" fillId="3" borderId="9" xfId="0" applyFont="1" applyFill="1" applyBorder="1" applyAlignment="1">
      <alignment horizontal="center" vertical="center"/>
    </xf>
    <xf numFmtId="0" fontId="6" fillId="3" borderId="39" xfId="0" applyFont="1" applyFill="1" applyBorder="1" applyAlignment="1">
      <alignment horizontal="center" vertical="center" wrapText="1"/>
    </xf>
    <xf numFmtId="0" fontId="6" fillId="3" borderId="10" xfId="0" applyFont="1" applyFill="1" applyBorder="1" applyAlignment="1">
      <alignment horizontal="center" vertical="center" wrapText="1"/>
    </xf>
    <xf numFmtId="167" fontId="6" fillId="15" borderId="0" xfId="1" applyNumberFormat="1" applyFont="1" applyFill="1"/>
    <xf numFmtId="167" fontId="6" fillId="15" borderId="0" xfId="0" applyNumberFormat="1" applyFont="1" applyFill="1"/>
    <xf numFmtId="167" fontId="6" fillId="7" borderId="0" xfId="0" applyNumberFormat="1" applyFont="1" applyFill="1"/>
    <xf numFmtId="167" fontId="6" fillId="15" borderId="0" xfId="0" applyNumberFormat="1" applyFont="1" applyFill="1" applyAlignment="1">
      <alignment horizontal="center"/>
    </xf>
    <xf numFmtId="167" fontId="6" fillId="7" borderId="0" xfId="1" applyNumberFormat="1" applyFont="1" applyFill="1"/>
    <xf numFmtId="0" fontId="6" fillId="15" borderId="0" xfId="1" applyNumberFormat="1" applyFont="1" applyFill="1"/>
    <xf numFmtId="0" fontId="6" fillId="0" borderId="0" xfId="0" applyFont="1" applyAlignment="1">
      <alignment horizontal="left" vertical="center"/>
    </xf>
    <xf numFmtId="0" fontId="6" fillId="3" borderId="18" xfId="0" applyFont="1" applyFill="1" applyBorder="1" applyAlignment="1">
      <alignment horizontal="center" vertical="center" wrapText="1"/>
    </xf>
    <xf numFmtId="0" fontId="6" fillId="3" borderId="24" xfId="0" applyFont="1" applyFill="1" applyBorder="1" applyAlignment="1">
      <alignment horizontal="center" vertical="center" wrapText="1"/>
    </xf>
    <xf numFmtId="9" fontId="6" fillId="5" borderId="14" xfId="3" applyFont="1" applyFill="1" applyBorder="1" applyAlignment="1">
      <alignment horizontal="center" vertical="center" wrapText="1"/>
    </xf>
    <xf numFmtId="0" fontId="6" fillId="3" borderId="14" xfId="0" applyFont="1" applyFill="1" applyBorder="1" applyAlignment="1">
      <alignment horizontal="center" vertical="center"/>
    </xf>
    <xf numFmtId="0" fontId="6" fillId="3" borderId="27" xfId="0" applyFont="1" applyFill="1" applyBorder="1" applyAlignment="1">
      <alignment horizontal="center" vertical="center" wrapText="1"/>
    </xf>
    <xf numFmtId="0" fontId="6" fillId="3" borderId="15" xfId="0" applyFont="1" applyFill="1" applyBorder="1" applyAlignment="1">
      <alignment horizontal="center" vertical="center" wrapText="1"/>
    </xf>
    <xf numFmtId="43" fontId="6" fillId="15" borderId="0" xfId="1" applyFont="1" applyFill="1"/>
    <xf numFmtId="0" fontId="6" fillId="0" borderId="0" xfId="0" applyFont="1" applyAlignment="1">
      <alignment horizontal="left" vertical="center" wrapText="1"/>
    </xf>
    <xf numFmtId="9" fontId="6" fillId="3" borderId="14" xfId="3" applyFont="1" applyFill="1" applyBorder="1" applyAlignment="1">
      <alignment horizontal="center" vertical="center" wrapText="1"/>
    </xf>
    <xf numFmtId="0" fontId="6" fillId="0" borderId="28" xfId="0" applyFont="1" applyBorder="1" applyAlignment="1">
      <alignment horizontal="center" vertical="center" wrapText="1"/>
    </xf>
    <xf numFmtId="167" fontId="6" fillId="0" borderId="0" xfId="1" applyNumberFormat="1" applyFont="1"/>
    <xf numFmtId="167" fontId="6" fillId="0" borderId="0" xfId="0" applyNumberFormat="1" applyFont="1"/>
    <xf numFmtId="167" fontId="6" fillId="0" borderId="28" xfId="0" applyNumberFormat="1" applyFont="1" applyBorder="1" applyAlignment="1">
      <alignment horizontal="center" vertical="center"/>
    </xf>
    <xf numFmtId="165" fontId="6" fillId="0" borderId="0" xfId="0" applyNumberFormat="1" applyFont="1"/>
    <xf numFmtId="0" fontId="5" fillId="4" borderId="37" xfId="0" applyFont="1" applyFill="1" applyBorder="1" applyAlignment="1">
      <alignment horizontal="center" wrapText="1"/>
    </xf>
    <xf numFmtId="0" fontId="5" fillId="4" borderId="65" xfId="0" applyFont="1" applyFill="1" applyBorder="1" applyAlignment="1">
      <alignment horizontal="center" wrapText="1"/>
    </xf>
    <xf numFmtId="0" fontId="6" fillId="0" borderId="47" xfId="0" applyFont="1" applyBorder="1" applyAlignment="1">
      <alignment horizontal="center" vertical="center"/>
    </xf>
    <xf numFmtId="3" fontId="6" fillId="15" borderId="0" xfId="1" applyNumberFormat="1" applyFont="1" applyFill="1"/>
    <xf numFmtId="0" fontId="6" fillId="4" borderId="11" xfId="0" applyFont="1" applyFill="1" applyBorder="1"/>
    <xf numFmtId="0" fontId="5" fillId="4" borderId="5" xfId="0" applyFont="1" applyFill="1" applyBorder="1" applyAlignment="1">
      <alignment horizontal="center" wrapText="1"/>
    </xf>
    <xf numFmtId="0" fontId="6" fillId="7" borderId="0" xfId="0" applyFont="1" applyFill="1" applyAlignment="1">
      <alignment vertical="center"/>
    </xf>
    <xf numFmtId="167" fontId="6" fillId="15" borderId="0" xfId="1" applyNumberFormat="1" applyFont="1" applyFill="1" applyAlignment="1">
      <alignment vertical="center"/>
    </xf>
    <xf numFmtId="167" fontId="6" fillId="15" borderId="0" xfId="0" applyNumberFormat="1" applyFont="1" applyFill="1" applyAlignment="1">
      <alignment vertical="center"/>
    </xf>
    <xf numFmtId="167" fontId="6" fillId="7" borderId="0" xfId="0" applyNumberFormat="1" applyFont="1" applyFill="1" applyAlignment="1">
      <alignment vertical="center"/>
    </xf>
    <xf numFmtId="167" fontId="6" fillId="15" borderId="0" xfId="0" applyNumberFormat="1" applyFont="1" applyFill="1" applyAlignment="1">
      <alignment horizontal="center" vertical="center"/>
    </xf>
    <xf numFmtId="167" fontId="6" fillId="7" borderId="0" xfId="1" applyNumberFormat="1" applyFont="1" applyFill="1" applyAlignment="1">
      <alignment vertical="center"/>
    </xf>
    <xf numFmtId="0" fontId="6" fillId="15" borderId="0" xfId="1" applyNumberFormat="1" applyFont="1" applyFill="1" applyAlignment="1">
      <alignment vertical="center"/>
    </xf>
    <xf numFmtId="0" fontId="6" fillId="3" borderId="25" xfId="0" applyFont="1" applyFill="1" applyBorder="1" applyAlignment="1">
      <alignment horizontal="center" vertical="center" wrapText="1"/>
    </xf>
    <xf numFmtId="43" fontId="6" fillId="15" borderId="0" xfId="1" applyFont="1" applyFill="1" applyAlignment="1">
      <alignment vertical="center"/>
    </xf>
    <xf numFmtId="0" fontId="6" fillId="0" borderId="0" xfId="0" applyFont="1" applyAlignment="1">
      <alignment vertical="center" wrapText="1"/>
    </xf>
    <xf numFmtId="0" fontId="6" fillId="0" borderId="0" xfId="0" applyFont="1" applyAlignment="1">
      <alignment horizontal="left"/>
    </xf>
    <xf numFmtId="0" fontId="6" fillId="4" borderId="0" xfId="0" applyFont="1" applyFill="1" applyAlignment="1">
      <alignment horizontal="center" vertical="center"/>
    </xf>
    <xf numFmtId="167" fontId="6" fillId="3" borderId="14" xfId="1" applyNumberFormat="1"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5" xfId="0" applyFont="1" applyFill="1" applyBorder="1" applyAlignment="1">
      <alignment vertical="center"/>
    </xf>
    <xf numFmtId="0" fontId="6" fillId="0" borderId="0" xfId="0" applyFont="1" applyAlignment="1">
      <alignment horizontal="center" vertical="center" wrapText="1"/>
    </xf>
    <xf numFmtId="165" fontId="6" fillId="0" borderId="0" xfId="2" applyNumberFormat="1" applyFont="1" applyAlignment="1">
      <alignment vertical="center"/>
    </xf>
    <xf numFmtId="0" fontId="6" fillId="13" borderId="0" xfId="0" applyFont="1" applyFill="1" applyAlignment="1">
      <alignment vertical="center"/>
    </xf>
    <xf numFmtId="165" fontId="6" fillId="13" borderId="0" xfId="0" applyNumberFormat="1" applyFont="1" applyFill="1" applyAlignment="1">
      <alignment vertical="center"/>
    </xf>
    <xf numFmtId="0" fontId="6" fillId="4" borderId="22" xfId="0" applyFont="1" applyFill="1" applyBorder="1" applyAlignment="1">
      <alignment vertical="center" wrapText="1"/>
    </xf>
    <xf numFmtId="0" fontId="5" fillId="4" borderId="11" xfId="0" applyFont="1" applyFill="1" applyBorder="1" applyAlignment="1">
      <alignment horizontal="center"/>
    </xf>
    <xf numFmtId="0" fontId="6" fillId="15" borderId="0" xfId="0" applyFont="1" applyFill="1" applyAlignment="1">
      <alignment horizontal="center" vertical="center"/>
    </xf>
    <xf numFmtId="0" fontId="5" fillId="0" borderId="0" xfId="0" applyFont="1" applyAlignment="1">
      <alignment horizontal="center" vertical="center"/>
    </xf>
    <xf numFmtId="0" fontId="6" fillId="7" borderId="0" xfId="0" applyFont="1" applyFill="1" applyAlignment="1">
      <alignment horizontal="center" vertical="center"/>
    </xf>
    <xf numFmtId="0" fontId="6" fillId="15" borderId="0" xfId="0" applyFont="1" applyFill="1" applyAlignment="1">
      <alignment horizontal="center" vertical="center" wrapText="1"/>
    </xf>
    <xf numFmtId="0" fontId="15" fillId="4" borderId="7" xfId="0" applyFont="1" applyFill="1" applyBorder="1" applyAlignment="1">
      <alignment horizontal="center" wrapText="1"/>
    </xf>
    <xf numFmtId="0" fontId="6" fillId="7" borderId="0" xfId="0" applyFont="1" applyFill="1" applyAlignment="1">
      <alignment horizontal="center" vertical="center" wrapText="1"/>
    </xf>
    <xf numFmtId="0" fontId="6" fillId="3" borderId="2" xfId="0" applyFont="1" applyFill="1" applyBorder="1" applyAlignment="1">
      <alignment horizontal="center" vertical="center"/>
    </xf>
    <xf numFmtId="167" fontId="6" fillId="15" borderId="0" xfId="1" applyNumberFormat="1" applyFont="1" applyFill="1" applyAlignment="1">
      <alignment horizontal="center" vertical="center"/>
    </xf>
    <xf numFmtId="167" fontId="6" fillId="7" borderId="0" xfId="0" applyNumberFormat="1" applyFont="1" applyFill="1" applyAlignment="1">
      <alignment horizontal="center" vertical="center"/>
    </xf>
    <xf numFmtId="167" fontId="6" fillId="7" borderId="0" xfId="1" applyNumberFormat="1" applyFont="1" applyFill="1" applyAlignment="1">
      <alignment horizontal="center" vertical="center"/>
    </xf>
    <xf numFmtId="0" fontId="6" fillId="15" borderId="0" xfId="1" applyNumberFormat="1" applyFont="1" applyFill="1" applyAlignment="1">
      <alignment horizontal="center" vertical="center"/>
    </xf>
    <xf numFmtId="43" fontId="6" fillId="15" borderId="0" xfId="1" applyFont="1" applyFill="1" applyAlignment="1">
      <alignment horizontal="center" vertical="center"/>
    </xf>
    <xf numFmtId="167" fontId="6" fillId="0" borderId="0" xfId="1" applyNumberFormat="1" applyFont="1" applyAlignment="1">
      <alignment horizontal="center" vertical="center"/>
    </xf>
    <xf numFmtId="167" fontId="6" fillId="0" borderId="0" xfId="0" applyNumberFormat="1" applyFont="1" applyAlignment="1">
      <alignment horizontal="center" vertical="center"/>
    </xf>
    <xf numFmtId="165" fontId="6" fillId="13" borderId="0" xfId="0" applyNumberFormat="1" applyFont="1" applyFill="1"/>
    <xf numFmtId="6" fontId="6" fillId="0" borderId="0" xfId="0" applyNumberFormat="1" applyFont="1"/>
    <xf numFmtId="0" fontId="6" fillId="3" borderId="3" xfId="0" applyFont="1" applyFill="1" applyBorder="1" applyAlignment="1">
      <alignment horizontal="center" vertical="center" wrapText="1"/>
    </xf>
    <xf numFmtId="165" fontId="6" fillId="5" borderId="14" xfId="2" applyNumberFormat="1" applyFont="1" applyFill="1" applyBorder="1" applyAlignment="1">
      <alignment horizontal="center" vertical="center" wrapText="1"/>
    </xf>
    <xf numFmtId="165" fontId="5" fillId="0" borderId="0" xfId="0" applyNumberFormat="1" applyFont="1"/>
    <xf numFmtId="0" fontId="5" fillId="4" borderId="85" xfId="0" applyFont="1" applyFill="1" applyBorder="1" applyAlignment="1">
      <alignment horizontal="center"/>
    </xf>
    <xf numFmtId="0" fontId="5" fillId="4" borderId="39" xfId="0" applyFont="1" applyFill="1" applyBorder="1" applyAlignment="1">
      <alignment wrapText="1"/>
    </xf>
    <xf numFmtId="0" fontId="5" fillId="4" borderId="32" xfId="0" applyFont="1" applyFill="1" applyBorder="1" applyAlignment="1">
      <alignment wrapText="1"/>
    </xf>
    <xf numFmtId="0" fontId="5" fillId="4" borderId="19" xfId="0" applyFont="1" applyFill="1" applyBorder="1" applyAlignment="1">
      <alignment wrapText="1"/>
    </xf>
    <xf numFmtId="0" fontId="5" fillId="4" borderId="20" xfId="0" applyFont="1" applyFill="1" applyBorder="1" applyAlignment="1">
      <alignment wrapText="1"/>
    </xf>
    <xf numFmtId="0" fontId="5" fillId="4" borderId="13" xfId="0" applyFont="1" applyFill="1" applyBorder="1" applyAlignment="1">
      <alignment wrapText="1"/>
    </xf>
    <xf numFmtId="0" fontId="5" fillId="4" borderId="2" xfId="0" applyFont="1" applyFill="1" applyBorder="1" applyAlignment="1">
      <alignment wrapText="1"/>
    </xf>
    <xf numFmtId="0" fontId="5" fillId="4" borderId="57" xfId="0" applyFont="1" applyFill="1" applyBorder="1" applyAlignment="1">
      <alignment horizontal="center" wrapText="1"/>
    </xf>
    <xf numFmtId="0" fontId="5" fillId="4" borderId="55" xfId="0" applyFont="1" applyFill="1" applyBorder="1" applyAlignment="1">
      <alignment horizontal="center" wrapText="1"/>
    </xf>
    <xf numFmtId="0" fontId="5" fillId="4" borderId="25" xfId="0" applyFont="1" applyFill="1" applyBorder="1" applyAlignment="1">
      <alignment horizontal="center" wrapText="1"/>
    </xf>
    <xf numFmtId="0" fontId="5" fillId="4" borderId="47" xfId="0" applyFont="1" applyFill="1" applyBorder="1" applyAlignment="1">
      <alignment wrapText="1"/>
    </xf>
    <xf numFmtId="0" fontId="5" fillId="4" borderId="55" xfId="0" applyFont="1" applyFill="1" applyBorder="1" applyAlignment="1">
      <alignment wrapText="1"/>
    </xf>
    <xf numFmtId="0" fontId="5" fillId="4" borderId="25" xfId="0" applyFont="1" applyFill="1" applyBorder="1" applyAlignment="1">
      <alignment wrapText="1"/>
    </xf>
    <xf numFmtId="0" fontId="5" fillId="4" borderId="54" xfId="0" applyFont="1" applyFill="1" applyBorder="1" applyAlignment="1">
      <alignment horizontal="center" wrapText="1"/>
    </xf>
    <xf numFmtId="0" fontId="5" fillId="4" borderId="14" xfId="0" applyFont="1" applyFill="1" applyBorder="1" applyAlignment="1">
      <alignment horizontal="center" wrapText="1"/>
    </xf>
    <xf numFmtId="0" fontId="5" fillId="4" borderId="27" xfId="0" applyFont="1" applyFill="1" applyBorder="1" applyAlignment="1">
      <alignment horizontal="center" wrapText="1"/>
    </xf>
    <xf numFmtId="0" fontId="6" fillId="3" borderId="57" xfId="0" applyFont="1" applyFill="1" applyBorder="1" applyAlignment="1">
      <alignment horizontal="center" vertical="center" wrapText="1"/>
    </xf>
    <xf numFmtId="0" fontId="6" fillId="3" borderId="5" xfId="0" applyFont="1" applyFill="1" applyBorder="1" applyAlignment="1">
      <alignment horizontal="center" vertical="center" wrapText="1"/>
    </xf>
    <xf numFmtId="165" fontId="6" fillId="3" borderId="25" xfId="2" applyNumberFormat="1" applyFont="1" applyFill="1" applyBorder="1" applyAlignment="1">
      <alignment horizontal="center" vertical="center" wrapText="1"/>
    </xf>
    <xf numFmtId="9" fontId="6" fillId="5" borderId="25" xfId="3" applyFont="1" applyFill="1" applyBorder="1" applyAlignment="1">
      <alignment horizontal="center" vertical="center" wrapText="1"/>
    </xf>
    <xf numFmtId="0" fontId="6" fillId="3" borderId="25" xfId="0" applyFont="1" applyFill="1" applyBorder="1" applyAlignment="1">
      <alignment horizontal="center" vertical="center"/>
    </xf>
    <xf numFmtId="0" fontId="6" fillId="3" borderId="54" xfId="0" applyFont="1" applyFill="1" applyBorder="1" applyAlignment="1">
      <alignment horizontal="center" vertical="center" wrapText="1"/>
    </xf>
    <xf numFmtId="0" fontId="6" fillId="3" borderId="59" xfId="0" applyFont="1" applyFill="1" applyBorder="1" applyAlignment="1">
      <alignment horizontal="center" vertical="center" wrapText="1"/>
    </xf>
    <xf numFmtId="165" fontId="6" fillId="3" borderId="24" xfId="2" applyNumberFormat="1" applyFont="1" applyFill="1" applyBorder="1" applyAlignment="1">
      <alignment horizontal="center" vertical="center" wrapText="1"/>
    </xf>
    <xf numFmtId="0" fontId="6" fillId="3" borderId="24" xfId="0" applyFont="1" applyFill="1" applyBorder="1" applyAlignment="1">
      <alignment horizontal="center" vertical="center"/>
    </xf>
    <xf numFmtId="0" fontId="6" fillId="3" borderId="44" xfId="0" applyFont="1" applyFill="1" applyBorder="1" applyAlignment="1">
      <alignment horizontal="center" vertical="center" wrapText="1"/>
    </xf>
    <xf numFmtId="0" fontId="6" fillId="0" borderId="18" xfId="0" applyFont="1" applyBorder="1" applyAlignment="1">
      <alignment horizontal="center" vertical="center" wrapText="1"/>
    </xf>
    <xf numFmtId="0" fontId="6" fillId="0" borderId="14" xfId="0" applyFont="1" applyBorder="1" applyAlignment="1">
      <alignment horizontal="center" vertical="center" wrapText="1"/>
    </xf>
    <xf numFmtId="167" fontId="6" fillId="0" borderId="14" xfId="0" applyNumberFormat="1" applyFont="1" applyBorder="1" applyAlignment="1">
      <alignment horizontal="center" vertical="center" wrapText="1"/>
    </xf>
    <xf numFmtId="165" fontId="6" fillId="0" borderId="14" xfId="2" applyNumberFormat="1" applyFont="1" applyFill="1" applyBorder="1" applyAlignment="1">
      <alignment horizontal="center" vertical="center" wrapText="1"/>
    </xf>
    <xf numFmtId="165" fontId="6" fillId="0" borderId="14" xfId="0" applyNumberFormat="1" applyFont="1" applyBorder="1" applyAlignment="1">
      <alignment horizontal="center" vertical="center" wrapText="1"/>
    </xf>
    <xf numFmtId="9" fontId="6" fillId="0" borderId="14" xfId="3" applyFont="1" applyFill="1" applyBorder="1" applyAlignment="1">
      <alignment horizontal="center" vertical="center" wrapText="1"/>
    </xf>
    <xf numFmtId="0" fontId="6" fillId="0" borderId="14" xfId="0" applyFont="1" applyBorder="1" applyAlignment="1">
      <alignment horizontal="center" vertical="center"/>
    </xf>
    <xf numFmtId="0" fontId="6" fillId="0" borderId="27" xfId="0" applyFont="1" applyBorder="1" applyAlignment="1">
      <alignment horizontal="center" vertical="center" wrapText="1"/>
    </xf>
    <xf numFmtId="0" fontId="6" fillId="0" borderId="15" xfId="0" applyFont="1" applyBorder="1" applyAlignment="1">
      <alignment horizontal="center" vertical="center" wrapText="1"/>
    </xf>
    <xf numFmtId="167" fontId="6" fillId="0" borderId="0" xfId="1" applyNumberFormat="1" applyFont="1" applyFill="1" applyAlignment="1">
      <alignment horizontal="center" vertical="center"/>
    </xf>
    <xf numFmtId="43" fontId="6" fillId="0" borderId="0" xfId="1" applyFont="1" applyFill="1" applyAlignment="1">
      <alignment horizontal="center" vertical="center"/>
    </xf>
    <xf numFmtId="0" fontId="6" fillId="5" borderId="18" xfId="0" applyFont="1" applyFill="1" applyBorder="1" applyAlignment="1">
      <alignment horizontal="center" vertical="center" wrapText="1"/>
    </xf>
    <xf numFmtId="0" fontId="6" fillId="5" borderId="14" xfId="0" applyFont="1" applyFill="1" applyBorder="1" applyAlignment="1">
      <alignment horizontal="center" vertical="center" wrapText="1"/>
    </xf>
    <xf numFmtId="9" fontId="6" fillId="5" borderId="24" xfId="3" applyFont="1" applyFill="1" applyBorder="1" applyAlignment="1">
      <alignment horizontal="center" vertical="center" wrapText="1"/>
    </xf>
    <xf numFmtId="0" fontId="6" fillId="3" borderId="10" xfId="0" applyFont="1" applyFill="1" applyBorder="1" applyAlignment="1">
      <alignment horizontal="center" vertical="center"/>
    </xf>
    <xf numFmtId="0" fontId="6" fillId="3" borderId="15" xfId="0" applyFont="1" applyFill="1" applyBorder="1" applyAlignment="1">
      <alignment horizontal="center" vertical="center"/>
    </xf>
    <xf numFmtId="0" fontId="6" fillId="0" borderId="28" xfId="0" applyFont="1" applyBorder="1"/>
    <xf numFmtId="0" fontId="6" fillId="3" borderId="47" xfId="0" applyFont="1" applyFill="1" applyBorder="1" applyAlignment="1">
      <alignment horizontal="center" wrapText="1"/>
    </xf>
    <xf numFmtId="0" fontId="5" fillId="4" borderId="0" xfId="0" applyFont="1" applyFill="1" applyAlignment="1">
      <alignment horizontal="center" vertical="center" wrapText="1"/>
    </xf>
    <xf numFmtId="0" fontId="5" fillId="4" borderId="2"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6" fillId="3" borderId="32" xfId="0" applyFont="1" applyFill="1" applyBorder="1" applyAlignment="1">
      <alignment horizontal="center" vertical="center" wrapText="1"/>
    </xf>
    <xf numFmtId="165" fontId="6" fillId="3" borderId="9" xfId="0" applyNumberFormat="1" applyFont="1" applyFill="1" applyBorder="1" applyAlignment="1">
      <alignment horizontal="center" vertical="center" wrapText="1"/>
    </xf>
    <xf numFmtId="165" fontId="6" fillId="3" borderId="2" xfId="0" applyNumberFormat="1" applyFont="1" applyFill="1" applyBorder="1" applyAlignment="1">
      <alignment horizontal="center" vertical="center" wrapText="1"/>
    </xf>
    <xf numFmtId="9" fontId="6" fillId="3" borderId="39" xfId="3" applyFont="1" applyFill="1" applyBorder="1" applyAlignment="1">
      <alignment horizontal="center" vertical="center" wrapText="1"/>
    </xf>
    <xf numFmtId="9" fontId="6" fillId="3" borderId="10" xfId="3" applyFont="1" applyFill="1" applyBorder="1" applyAlignment="1">
      <alignment horizontal="center" vertical="center" wrapText="1"/>
    </xf>
    <xf numFmtId="0" fontId="6" fillId="0" borderId="0" xfId="0" applyFont="1" applyAlignment="1">
      <alignment horizontal="right"/>
    </xf>
    <xf numFmtId="167" fontId="6" fillId="0" borderId="0" xfId="0" applyNumberFormat="1" applyFont="1" applyAlignment="1">
      <alignment horizontal="center"/>
    </xf>
    <xf numFmtId="43" fontId="6" fillId="0" borderId="0" xfId="1" applyFont="1"/>
    <xf numFmtId="43" fontId="6" fillId="0" borderId="0" xfId="0" applyNumberFormat="1" applyFont="1"/>
    <xf numFmtId="0" fontId="6" fillId="3" borderId="33" xfId="0" applyFont="1" applyFill="1" applyBorder="1" applyAlignment="1">
      <alignment horizontal="center" vertical="center" wrapText="1"/>
    </xf>
    <xf numFmtId="165" fontId="6" fillId="3" borderId="14" xfId="0" applyNumberFormat="1" applyFont="1" applyFill="1" applyBorder="1" applyAlignment="1">
      <alignment horizontal="center" vertical="center" wrapText="1"/>
    </xf>
    <xf numFmtId="9" fontId="6" fillId="3" borderId="27" xfId="3" applyFont="1" applyFill="1" applyBorder="1" applyAlignment="1">
      <alignment horizontal="center" vertical="center" wrapText="1"/>
    </xf>
    <xf numFmtId="9" fontId="6" fillId="3" borderId="15" xfId="3" applyFont="1" applyFill="1" applyBorder="1" applyAlignment="1">
      <alignment horizontal="center" vertical="center" wrapText="1"/>
    </xf>
    <xf numFmtId="9" fontId="6" fillId="3" borderId="44" xfId="3" applyFont="1" applyFill="1" applyBorder="1" applyAlignment="1">
      <alignment horizontal="center" vertical="center" wrapText="1"/>
    </xf>
    <xf numFmtId="0" fontId="6" fillId="3" borderId="56" xfId="0" applyFont="1" applyFill="1" applyBorder="1" applyAlignment="1">
      <alignment horizontal="center" vertical="center" wrapText="1"/>
    </xf>
    <xf numFmtId="0" fontId="6" fillId="3" borderId="81" xfId="0" applyFont="1" applyFill="1" applyBorder="1" applyAlignment="1">
      <alignment horizontal="center" vertical="center" wrapText="1"/>
    </xf>
    <xf numFmtId="165" fontId="6" fillId="3" borderId="24" xfId="0" applyNumberFormat="1" applyFont="1" applyFill="1" applyBorder="1" applyAlignment="1">
      <alignment horizontal="center" vertical="center" wrapText="1"/>
    </xf>
    <xf numFmtId="0" fontId="6" fillId="0" borderId="14" xfId="0" applyFont="1" applyBorder="1"/>
    <xf numFmtId="167" fontId="6" fillId="0" borderId="0" xfId="1" applyNumberFormat="1" applyFont="1" applyBorder="1"/>
    <xf numFmtId="43" fontId="6" fillId="0" borderId="0" xfId="1" applyFont="1" applyBorder="1"/>
    <xf numFmtId="0" fontId="6" fillId="6" borderId="0" xfId="0" applyFont="1" applyFill="1" applyAlignment="1">
      <alignment horizontal="center" wrapText="1"/>
    </xf>
    <xf numFmtId="0" fontId="6" fillId="6" borderId="0" xfId="0" applyFont="1" applyFill="1" applyAlignment="1">
      <alignment horizontal="center" vertical="center" wrapText="1"/>
    </xf>
    <xf numFmtId="9" fontId="6" fillId="0" borderId="0" xfId="0" applyNumberFormat="1" applyFont="1" applyAlignment="1">
      <alignment horizontal="center" vertical="center" wrapText="1"/>
    </xf>
    <xf numFmtId="165" fontId="6" fillId="0" borderId="0" xfId="0" applyNumberFormat="1" applyFont="1" applyAlignment="1">
      <alignment horizontal="center" vertical="center" wrapText="1"/>
    </xf>
    <xf numFmtId="165" fontId="6" fillId="13" borderId="0" xfId="0" applyNumberFormat="1" applyFont="1" applyFill="1" applyAlignment="1">
      <alignment horizontal="center" vertical="center" wrapText="1"/>
    </xf>
    <xf numFmtId="165" fontId="6" fillId="6" borderId="0" xfId="0" applyNumberFormat="1" applyFont="1" applyFill="1" applyAlignment="1">
      <alignment horizontal="center" vertical="center" wrapText="1"/>
    </xf>
    <xf numFmtId="165" fontId="6" fillId="0" borderId="0" xfId="2" applyNumberFormat="1" applyFont="1" applyAlignment="1">
      <alignment horizontal="center" vertical="center" wrapText="1"/>
    </xf>
    <xf numFmtId="0" fontId="5" fillId="4" borderId="1" xfId="0" applyFont="1" applyFill="1" applyBorder="1" applyAlignment="1">
      <alignment horizontal="center" vertical="center" wrapText="1"/>
    </xf>
    <xf numFmtId="0" fontId="5" fillId="4" borderId="19" xfId="0" applyFont="1" applyFill="1" applyBorder="1" applyAlignment="1">
      <alignment vertical="center" wrapText="1"/>
    </xf>
    <xf numFmtId="0" fontId="5" fillId="4" borderId="6"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3" borderId="20" xfId="0" applyFont="1" applyFill="1" applyBorder="1" applyAlignment="1">
      <alignment horizontal="center" vertical="center" wrapText="1"/>
    </xf>
    <xf numFmtId="9" fontId="6" fillId="3" borderId="9" xfId="3" applyFont="1" applyFill="1" applyBorder="1" applyAlignment="1">
      <alignment horizontal="center" vertical="center" wrapText="1"/>
    </xf>
    <xf numFmtId="0" fontId="6" fillId="0" borderId="0" xfId="0" applyFont="1" applyAlignment="1">
      <alignment horizontal="right" wrapText="1"/>
    </xf>
    <xf numFmtId="0" fontId="5" fillId="0" borderId="0" xfId="0" applyFont="1" applyAlignment="1">
      <alignment vertical="center"/>
    </xf>
    <xf numFmtId="0" fontId="5" fillId="4" borderId="65" xfId="0" applyFont="1" applyFill="1" applyBorder="1" applyAlignment="1">
      <alignment horizontal="center" vertical="center" wrapText="1"/>
    </xf>
    <xf numFmtId="0" fontId="6" fillId="0" borderId="0" xfId="0" applyFont="1" applyAlignment="1">
      <alignment horizontal="right" vertical="center"/>
    </xf>
    <xf numFmtId="167" fontId="6" fillId="0" borderId="0" xfId="1" applyNumberFormat="1" applyFont="1" applyAlignment="1">
      <alignment vertical="center"/>
    </xf>
    <xf numFmtId="167" fontId="6" fillId="0" borderId="0" xfId="0" applyNumberFormat="1" applyFont="1" applyAlignment="1">
      <alignment vertical="center"/>
    </xf>
    <xf numFmtId="43" fontId="6" fillId="0" borderId="0" xfId="1" applyFont="1" applyAlignment="1">
      <alignment vertical="center"/>
    </xf>
    <xf numFmtId="43" fontId="6" fillId="0" borderId="0" xfId="0" applyNumberFormat="1" applyFont="1" applyAlignment="1">
      <alignment vertical="center"/>
    </xf>
    <xf numFmtId="0" fontId="5" fillId="4" borderId="0" xfId="0" applyFont="1" applyFill="1" applyAlignment="1">
      <alignment horizontal="center" wrapText="1"/>
    </xf>
    <xf numFmtId="0" fontId="5" fillId="4" borderId="17" xfId="0" applyFont="1" applyFill="1" applyBorder="1" applyAlignment="1">
      <alignment horizontal="center" wrapText="1"/>
    </xf>
    <xf numFmtId="0" fontId="5" fillId="4" borderId="18" xfId="0" applyFont="1" applyFill="1" applyBorder="1" applyAlignment="1">
      <alignment horizontal="center" wrapText="1"/>
    </xf>
    <xf numFmtId="0" fontId="5" fillId="4" borderId="33" xfId="0" applyFont="1" applyFill="1" applyBorder="1" applyAlignment="1">
      <alignment horizontal="center" wrapText="1"/>
    </xf>
    <xf numFmtId="165" fontId="6" fillId="13" borderId="0" xfId="0" applyNumberFormat="1" applyFont="1" applyFill="1" applyAlignment="1">
      <alignment horizontal="center" wrapText="1"/>
    </xf>
    <xf numFmtId="0" fontId="5" fillId="4" borderId="31" xfId="0" applyFont="1" applyFill="1" applyBorder="1" applyAlignment="1">
      <alignment horizontal="center" wrapText="1"/>
    </xf>
    <xf numFmtId="167" fontId="6" fillId="3" borderId="14" xfId="0" applyNumberFormat="1" applyFont="1" applyFill="1" applyBorder="1" applyAlignment="1">
      <alignment horizontal="center" vertical="center" wrapText="1"/>
    </xf>
    <xf numFmtId="3" fontId="6" fillId="7" borderId="0" xfId="0" applyNumberFormat="1" applyFont="1" applyFill="1"/>
    <xf numFmtId="9" fontId="6" fillId="5" borderId="27" xfId="3" applyFont="1" applyFill="1" applyBorder="1" applyAlignment="1">
      <alignment horizontal="center" vertical="center" wrapText="1"/>
    </xf>
    <xf numFmtId="165" fontId="5" fillId="13" borderId="0" xfId="0" applyNumberFormat="1" applyFont="1" applyFill="1"/>
    <xf numFmtId="0" fontId="6" fillId="3" borderId="24" xfId="0" quotePrefix="1" applyFont="1" applyFill="1" applyBorder="1" applyAlignment="1">
      <alignment horizontal="center" vertical="center" wrapText="1"/>
    </xf>
    <xf numFmtId="1" fontId="6" fillId="3" borderId="24" xfId="0" applyNumberFormat="1" applyFont="1" applyFill="1" applyBorder="1" applyAlignment="1">
      <alignment horizontal="center" vertical="center" wrapText="1"/>
    </xf>
    <xf numFmtId="9" fontId="6" fillId="3" borderId="26" xfId="3" applyFont="1" applyFill="1" applyBorder="1" applyAlignment="1">
      <alignment horizontal="center" vertical="center" wrapText="1"/>
    </xf>
    <xf numFmtId="9" fontId="6" fillId="3" borderId="82" xfId="3" applyFont="1" applyFill="1" applyBorder="1" applyAlignment="1">
      <alignment horizontal="center" vertical="center" wrapText="1"/>
    </xf>
    <xf numFmtId="6" fontId="6" fillId="0" borderId="0" xfId="0" applyNumberFormat="1" applyFont="1" applyAlignment="1">
      <alignment horizontal="right" vertical="center"/>
    </xf>
    <xf numFmtId="6" fontId="6" fillId="0" borderId="0" xfId="0" applyNumberFormat="1" applyFont="1" applyAlignment="1">
      <alignment horizontal="center" vertical="center"/>
    </xf>
    <xf numFmtId="165" fontId="6" fillId="0" borderId="0" xfId="2" applyNumberFormat="1" applyFont="1" applyAlignment="1">
      <alignment horizontal="center" vertical="center"/>
    </xf>
    <xf numFmtId="165" fontId="6" fillId="15" borderId="0" xfId="2" applyNumberFormat="1" applyFont="1" applyFill="1" applyAlignment="1">
      <alignment vertical="center"/>
    </xf>
    <xf numFmtId="0" fontId="6" fillId="3" borderId="14" xfId="0" quotePrefix="1" applyFont="1" applyFill="1" applyBorder="1" applyAlignment="1">
      <alignment horizontal="center" vertical="center" wrapText="1"/>
    </xf>
    <xf numFmtId="1" fontId="6" fillId="3" borderId="14" xfId="0" applyNumberFormat="1" applyFont="1" applyFill="1" applyBorder="1" applyAlignment="1">
      <alignment horizontal="center" vertical="center" wrapText="1"/>
    </xf>
    <xf numFmtId="44" fontId="6" fillId="0" borderId="0" xfId="2" applyFont="1" applyAlignment="1">
      <alignment vertical="center"/>
    </xf>
    <xf numFmtId="165" fontId="6" fillId="0" borderId="0" xfId="0" applyNumberFormat="1" applyFont="1" applyAlignment="1">
      <alignment horizontal="center" wrapText="1"/>
    </xf>
    <xf numFmtId="0" fontId="6" fillId="13" borderId="0" xfId="0" applyFont="1" applyFill="1" applyAlignment="1">
      <alignment horizontal="center" wrapText="1"/>
    </xf>
    <xf numFmtId="0" fontId="5" fillId="4" borderId="4" xfId="0" applyFont="1" applyFill="1" applyBorder="1" applyAlignment="1">
      <alignment horizontal="center" wrapText="1"/>
    </xf>
    <xf numFmtId="0" fontId="6" fillId="3" borderId="14" xfId="1" applyNumberFormat="1" applyFont="1" applyFill="1" applyBorder="1" applyAlignment="1">
      <alignment horizontal="center" vertical="center"/>
    </xf>
    <xf numFmtId="165" fontId="6" fillId="3" borderId="0" xfId="0" applyNumberFormat="1" applyFont="1" applyFill="1"/>
    <xf numFmtId="165" fontId="6" fillId="8" borderId="9" xfId="2" applyNumberFormat="1" applyFont="1" applyFill="1" applyBorder="1" applyAlignment="1">
      <alignment horizontal="center" vertical="center" wrapText="1"/>
    </xf>
    <xf numFmtId="165" fontId="6" fillId="8" borderId="2" xfId="2" applyNumberFormat="1" applyFont="1" applyFill="1" applyBorder="1" applyAlignment="1">
      <alignment horizontal="center" vertical="center" wrapText="1"/>
    </xf>
    <xf numFmtId="165" fontId="6" fillId="8" borderId="14" xfId="2" applyNumberFormat="1" applyFont="1" applyFill="1" applyBorder="1" applyAlignment="1">
      <alignment horizontal="center" vertical="center" wrapText="1"/>
    </xf>
    <xf numFmtId="165" fontId="6" fillId="8" borderId="24" xfId="2" applyNumberFormat="1" applyFont="1" applyFill="1" applyBorder="1" applyAlignment="1">
      <alignment horizontal="center" vertical="center" wrapText="1"/>
    </xf>
    <xf numFmtId="165" fontId="6" fillId="8" borderId="25" xfId="2" applyNumberFormat="1" applyFont="1" applyFill="1" applyBorder="1" applyAlignment="1">
      <alignment horizontal="center" vertical="center" wrapText="1"/>
    </xf>
    <xf numFmtId="165" fontId="6" fillId="8" borderId="5" xfId="2" applyNumberFormat="1" applyFont="1" applyFill="1" applyBorder="1" applyAlignment="1">
      <alignment horizontal="center" vertical="center" wrapText="1"/>
    </xf>
    <xf numFmtId="165" fontId="6" fillId="8" borderId="2" xfId="0" applyNumberFormat="1" applyFont="1" applyFill="1" applyBorder="1" applyAlignment="1">
      <alignment horizontal="center" vertical="center" wrapText="1"/>
    </xf>
    <xf numFmtId="165" fontId="6" fillId="8" borderId="14" xfId="0" applyNumberFormat="1" applyFont="1" applyFill="1" applyBorder="1" applyAlignment="1">
      <alignment horizontal="center" vertical="center" wrapText="1"/>
    </xf>
    <xf numFmtId="165" fontId="6" fillId="8" borderId="24" xfId="0" applyNumberFormat="1" applyFont="1" applyFill="1" applyBorder="1" applyAlignment="1">
      <alignment horizontal="center" vertical="center" wrapText="1"/>
    </xf>
    <xf numFmtId="1" fontId="6" fillId="3" borderId="0" xfId="0" applyNumberFormat="1" applyFont="1" applyFill="1" applyAlignment="1">
      <alignment horizontal="center" vertical="center" wrapText="1"/>
    </xf>
    <xf numFmtId="165" fontId="6" fillId="3" borderId="0" xfId="0" applyNumberFormat="1" applyFont="1" applyFill="1" applyAlignment="1">
      <alignment horizontal="center" vertical="center" wrapText="1"/>
    </xf>
    <xf numFmtId="9" fontId="6" fillId="3" borderId="0" xfId="3" applyFont="1" applyFill="1" applyBorder="1" applyAlignment="1">
      <alignment horizontal="center" vertical="center" wrapText="1"/>
    </xf>
    <xf numFmtId="0" fontId="6" fillId="6" borderId="14" xfId="0" applyFont="1" applyFill="1" applyBorder="1" applyAlignment="1">
      <alignment horizontal="center" vertical="center"/>
    </xf>
    <xf numFmtId="0" fontId="6" fillId="6" borderId="27" xfId="0" applyFont="1" applyFill="1" applyBorder="1" applyAlignment="1">
      <alignment horizontal="center" vertical="center"/>
    </xf>
    <xf numFmtId="167" fontId="6" fillId="6" borderId="14" xfId="1" applyNumberFormat="1" applyFont="1" applyFill="1" applyBorder="1" applyAlignment="1">
      <alignment horizontal="center" vertical="center"/>
    </xf>
    <xf numFmtId="167" fontId="6" fillId="6" borderId="27" xfId="1" applyNumberFormat="1" applyFont="1" applyFill="1" applyBorder="1" applyAlignment="1">
      <alignment horizontal="center" vertical="center"/>
    </xf>
    <xf numFmtId="165" fontId="6" fillId="6" borderId="14" xfId="2" applyNumberFormat="1" applyFont="1" applyFill="1" applyBorder="1" applyAlignment="1">
      <alignment horizontal="center" vertical="center"/>
    </xf>
    <xf numFmtId="165" fontId="6" fillId="6" borderId="27" xfId="2" applyNumberFormat="1" applyFont="1" applyFill="1" applyBorder="1" applyAlignment="1">
      <alignment horizontal="center" vertical="center"/>
    </xf>
    <xf numFmtId="165" fontId="6" fillId="16" borderId="14" xfId="2" applyNumberFormat="1" applyFont="1" applyFill="1" applyBorder="1" applyAlignment="1">
      <alignment horizontal="center" vertical="center"/>
    </xf>
    <xf numFmtId="165" fontId="6" fillId="16" borderId="27" xfId="2" applyNumberFormat="1" applyFont="1" applyFill="1" applyBorder="1" applyAlignment="1">
      <alignment horizontal="center" vertical="center"/>
    </xf>
    <xf numFmtId="165" fontId="5" fillId="11" borderId="14" xfId="2" applyNumberFormat="1" applyFont="1" applyFill="1" applyBorder="1" applyAlignment="1">
      <alignment horizontal="center" vertical="center"/>
    </xf>
    <xf numFmtId="165" fontId="5" fillId="11" borderId="27" xfId="2" applyNumberFormat="1" applyFont="1" applyFill="1" applyBorder="1" applyAlignment="1">
      <alignment horizontal="center" vertical="center"/>
    </xf>
    <xf numFmtId="167" fontId="5" fillId="11" borderId="14" xfId="1" applyNumberFormat="1" applyFont="1" applyFill="1" applyBorder="1" applyAlignment="1">
      <alignment horizontal="center" vertical="center"/>
    </xf>
    <xf numFmtId="167" fontId="5" fillId="11" borderId="27" xfId="1" applyNumberFormat="1" applyFont="1" applyFill="1" applyBorder="1" applyAlignment="1">
      <alignment horizontal="center" vertical="center"/>
    </xf>
    <xf numFmtId="0" fontId="5" fillId="8" borderId="67" xfId="0" applyFont="1" applyFill="1" applyBorder="1" applyAlignment="1">
      <alignment horizontal="center" vertical="center"/>
    </xf>
    <xf numFmtId="0" fontId="5" fillId="8" borderId="68" xfId="0" applyFont="1" applyFill="1" applyBorder="1" applyAlignment="1">
      <alignment horizontal="center" vertical="center" wrapText="1"/>
    </xf>
    <xf numFmtId="0" fontId="5" fillId="8" borderId="86" xfId="0" applyFont="1" applyFill="1" applyBorder="1" applyAlignment="1">
      <alignment horizontal="center" vertical="center" wrapText="1"/>
    </xf>
    <xf numFmtId="0" fontId="5" fillId="8" borderId="69" xfId="0" applyFont="1" applyFill="1" applyBorder="1" applyAlignment="1">
      <alignment horizontal="center" vertical="center" wrapText="1"/>
    </xf>
    <xf numFmtId="0" fontId="5" fillId="6" borderId="75" xfId="0" applyFont="1" applyFill="1" applyBorder="1" applyAlignment="1">
      <alignment horizontal="left" vertical="center"/>
    </xf>
    <xf numFmtId="0" fontId="6" fillId="6" borderId="76" xfId="0" applyFont="1" applyFill="1" applyBorder="1" applyAlignment="1">
      <alignment horizontal="center" vertical="center"/>
    </xf>
    <xf numFmtId="0" fontId="6" fillId="6" borderId="75" xfId="0" applyFont="1" applyFill="1" applyBorder="1" applyAlignment="1">
      <alignment horizontal="center" vertical="center"/>
    </xf>
    <xf numFmtId="167" fontId="6" fillId="6" borderId="76" xfId="1" applyNumberFormat="1" applyFont="1" applyFill="1" applyBorder="1" applyAlignment="1">
      <alignment horizontal="center" vertical="center"/>
    </xf>
    <xf numFmtId="0" fontId="6" fillId="6" borderId="75" xfId="0" applyFont="1" applyFill="1" applyBorder="1" applyAlignment="1">
      <alignment horizontal="center" vertical="center" wrapText="1"/>
    </xf>
    <xf numFmtId="0" fontId="5" fillId="11" borderId="75" xfId="0" applyFont="1" applyFill="1" applyBorder="1" applyAlignment="1">
      <alignment horizontal="center" vertical="center"/>
    </xf>
    <xf numFmtId="167" fontId="5" fillId="11" borderId="76" xfId="1" applyNumberFormat="1" applyFont="1" applyFill="1" applyBorder="1" applyAlignment="1">
      <alignment horizontal="center" vertical="center"/>
    </xf>
    <xf numFmtId="165" fontId="5" fillId="11" borderId="76" xfId="2" applyNumberFormat="1" applyFont="1" applyFill="1" applyBorder="1" applyAlignment="1">
      <alignment horizontal="center" vertical="center"/>
    </xf>
    <xf numFmtId="165" fontId="6" fillId="6" borderId="76" xfId="2" applyNumberFormat="1" applyFont="1" applyFill="1" applyBorder="1" applyAlignment="1">
      <alignment horizontal="center" vertical="center"/>
    </xf>
    <xf numFmtId="0" fontId="5" fillId="16" borderId="75" xfId="0" applyFont="1" applyFill="1" applyBorder="1" applyAlignment="1">
      <alignment horizontal="left" vertical="center"/>
    </xf>
    <xf numFmtId="165" fontId="6" fillId="16" borderId="76" xfId="2" applyNumberFormat="1" applyFont="1" applyFill="1" applyBorder="1" applyAlignment="1">
      <alignment horizontal="center" vertical="center"/>
    </xf>
    <xf numFmtId="0" fontId="6" fillId="16" borderId="75" xfId="0" applyFont="1" applyFill="1" applyBorder="1" applyAlignment="1">
      <alignment horizontal="center" vertical="center"/>
    </xf>
    <xf numFmtId="0" fontId="5" fillId="8" borderId="77" xfId="0" applyFont="1" applyFill="1" applyBorder="1" applyAlignment="1">
      <alignment horizontal="center" vertical="center"/>
    </xf>
    <xf numFmtId="165" fontId="5" fillId="8" borderId="50" xfId="2" applyNumberFormat="1" applyFont="1" applyFill="1" applyBorder="1" applyAlignment="1">
      <alignment horizontal="center" vertical="center"/>
    </xf>
    <xf numFmtId="165" fontId="5" fillId="8" borderId="78" xfId="2" applyNumberFormat="1" applyFont="1" applyFill="1" applyBorder="1" applyAlignment="1">
      <alignment horizontal="center" vertical="center"/>
    </xf>
    <xf numFmtId="0" fontId="6" fillId="0" borderId="35" xfId="0" applyFont="1" applyBorder="1" applyAlignment="1">
      <alignment horizontal="center" vertical="center"/>
    </xf>
    <xf numFmtId="0" fontId="6" fillId="0" borderId="45" xfId="0" applyFont="1" applyBorder="1" applyAlignment="1">
      <alignment horizontal="center" vertical="center"/>
    </xf>
    <xf numFmtId="0" fontId="6" fillId="0" borderId="42" xfId="0" applyFont="1" applyBorder="1" applyAlignment="1">
      <alignment horizontal="center" vertical="center"/>
    </xf>
    <xf numFmtId="0" fontId="6" fillId="0" borderId="40" xfId="0" applyFont="1" applyBorder="1" applyAlignment="1">
      <alignment horizontal="center" vertical="center"/>
    </xf>
    <xf numFmtId="0" fontId="6" fillId="0" borderId="49" xfId="0" applyFont="1" applyBorder="1" applyAlignment="1">
      <alignment horizontal="center" vertical="center"/>
    </xf>
    <xf numFmtId="0" fontId="6" fillId="0" borderId="42" xfId="0" applyFont="1" applyBorder="1" applyAlignment="1">
      <alignment horizontal="center" vertical="center" wrapText="1"/>
    </xf>
    <xf numFmtId="0" fontId="6" fillId="0" borderId="43" xfId="0" applyFont="1" applyBorder="1" applyAlignment="1">
      <alignment horizontal="center" vertical="center"/>
    </xf>
    <xf numFmtId="0" fontId="6" fillId="0" borderId="36" xfId="0" applyFont="1" applyBorder="1" applyAlignment="1">
      <alignment horizontal="center" vertical="center"/>
    </xf>
    <xf numFmtId="0" fontId="6" fillId="0" borderId="35" xfId="0" applyFont="1" applyBorder="1" applyAlignment="1">
      <alignment horizontal="left" vertical="center"/>
    </xf>
    <xf numFmtId="0" fontId="6" fillId="0" borderId="45" xfId="0" applyFont="1" applyBorder="1" applyAlignment="1">
      <alignment horizontal="left" vertical="center"/>
    </xf>
    <xf numFmtId="0" fontId="6" fillId="0" borderId="36" xfId="0" applyFont="1" applyBorder="1" applyAlignment="1">
      <alignment horizontal="left" vertical="center"/>
    </xf>
    <xf numFmtId="0" fontId="6" fillId="0" borderId="35" xfId="0" applyFont="1" applyBorder="1" applyAlignment="1">
      <alignment vertical="center"/>
    </xf>
    <xf numFmtId="0" fontId="6" fillId="0" borderId="45" xfId="0" applyFont="1" applyBorder="1" applyAlignment="1">
      <alignment vertical="center"/>
    </xf>
    <xf numFmtId="0" fontId="6" fillId="0" borderId="36" xfId="0" applyFont="1" applyBorder="1" applyAlignment="1">
      <alignment vertical="center"/>
    </xf>
    <xf numFmtId="0" fontId="6" fillId="0" borderId="35"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5" xfId="0" applyFont="1" applyBorder="1" applyAlignment="1">
      <alignment horizontal="center" wrapText="1"/>
    </xf>
    <xf numFmtId="0" fontId="6" fillId="0" borderId="45" xfId="0" applyFont="1" applyBorder="1" applyAlignment="1">
      <alignment horizontal="center" wrapText="1"/>
    </xf>
    <xf numFmtId="0" fontId="6" fillId="0" borderId="58" xfId="0" applyFont="1" applyBorder="1" applyAlignment="1">
      <alignment horizontal="center" vertical="center" wrapText="1"/>
    </xf>
    <xf numFmtId="0" fontId="6" fillId="0" borderId="58" xfId="0" applyFont="1" applyBorder="1" applyAlignment="1">
      <alignment horizontal="center" vertical="center"/>
    </xf>
    <xf numFmtId="0" fontId="6" fillId="0" borderId="43" xfId="0" applyFont="1" applyBorder="1" applyAlignment="1">
      <alignment horizontal="center" vertical="center" wrapText="1"/>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0" fontId="6" fillId="4" borderId="66"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6" fillId="4" borderId="23"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0" borderId="0" xfId="0" applyFont="1" applyAlignment="1">
      <alignment horizontal="center"/>
    </xf>
    <xf numFmtId="0" fontId="6" fillId="15" borderId="0" xfId="0" applyFont="1" applyFill="1" applyAlignment="1">
      <alignment horizontal="center"/>
    </xf>
    <xf numFmtId="0" fontId="5" fillId="4" borderId="13" xfId="0" applyFont="1" applyFill="1" applyBorder="1" applyAlignment="1">
      <alignment horizontal="center" wrapText="1"/>
    </xf>
    <xf numFmtId="0" fontId="5" fillId="4" borderId="21" xfId="0" applyFont="1" applyFill="1" applyBorder="1" applyAlignment="1">
      <alignment horizontal="center" wrapText="1"/>
    </xf>
    <xf numFmtId="0" fontId="5" fillId="4" borderId="22" xfId="0" applyFont="1" applyFill="1" applyBorder="1" applyAlignment="1">
      <alignment horizontal="center" wrapText="1"/>
    </xf>
    <xf numFmtId="0" fontId="5" fillId="4" borderId="23" xfId="0" applyFont="1" applyFill="1" applyBorder="1" applyAlignment="1">
      <alignment horizontal="center" wrapText="1"/>
    </xf>
    <xf numFmtId="0" fontId="5" fillId="2" borderId="21" xfId="0" applyFont="1" applyFill="1" applyBorder="1" applyAlignment="1">
      <alignment horizontal="center" wrapText="1"/>
    </xf>
    <xf numFmtId="0" fontId="5" fillId="2" borderId="22" xfId="0" applyFont="1" applyFill="1" applyBorder="1" applyAlignment="1">
      <alignment horizontal="center" wrapText="1"/>
    </xf>
    <xf numFmtId="0" fontId="5" fillId="4" borderId="21" xfId="0" applyFont="1" applyFill="1" applyBorder="1" applyAlignment="1">
      <alignment horizontal="center"/>
    </xf>
    <xf numFmtId="0" fontId="5" fillId="4" borderId="22" xfId="0" applyFont="1" applyFill="1" applyBorder="1" applyAlignment="1">
      <alignment horizontal="center"/>
    </xf>
    <xf numFmtId="0" fontId="5" fillId="4" borderId="64" xfId="0" applyFont="1" applyFill="1" applyBorder="1" applyAlignment="1">
      <alignment horizontal="center"/>
    </xf>
    <xf numFmtId="0" fontId="5" fillId="2" borderId="39" xfId="0" applyFont="1" applyFill="1" applyBorder="1" applyAlignment="1">
      <alignment horizontal="center" wrapText="1"/>
    </xf>
    <xf numFmtId="0" fontId="5" fillId="2" borderId="37" xfId="0" applyFont="1" applyFill="1" applyBorder="1" applyAlignment="1">
      <alignment horizontal="center" wrapText="1"/>
    </xf>
    <xf numFmtId="0" fontId="5" fillId="2" borderId="32" xfId="0" applyFont="1" applyFill="1" applyBorder="1" applyAlignment="1">
      <alignment horizontal="center" wrapText="1"/>
    </xf>
    <xf numFmtId="0" fontId="5" fillId="4" borderId="19" xfId="0" applyFont="1" applyFill="1" applyBorder="1" applyAlignment="1">
      <alignment horizontal="center" wrapText="1"/>
    </xf>
    <xf numFmtId="0" fontId="5" fillId="4" borderId="20" xfId="0" applyFont="1" applyFill="1" applyBorder="1" applyAlignment="1">
      <alignment horizontal="center" wrapText="1"/>
    </xf>
    <xf numFmtId="0" fontId="5" fillId="4" borderId="9" xfId="0" applyFont="1" applyFill="1" applyBorder="1" applyAlignment="1">
      <alignment horizontal="center" wrapText="1"/>
    </xf>
    <xf numFmtId="0" fontId="5" fillId="4" borderId="11" xfId="0" applyFont="1" applyFill="1" applyBorder="1" applyAlignment="1">
      <alignment horizontal="center" wrapText="1"/>
    </xf>
    <xf numFmtId="0" fontId="5" fillId="4" borderId="30" xfId="0" applyFont="1" applyFill="1" applyBorder="1" applyAlignment="1">
      <alignment horizontal="center" wrapText="1"/>
    </xf>
    <xf numFmtId="0" fontId="5" fillId="4" borderId="16" xfId="0" applyFont="1" applyFill="1" applyBorder="1" applyAlignment="1">
      <alignment horizontal="center" wrapText="1"/>
    </xf>
    <xf numFmtId="0" fontId="5" fillId="4" borderId="2" xfId="0" applyFont="1" applyFill="1" applyBorder="1" applyAlignment="1">
      <alignment horizontal="center" wrapText="1"/>
    </xf>
    <xf numFmtId="0" fontId="5" fillId="4" borderId="7" xfId="0" applyFont="1" applyFill="1" applyBorder="1" applyAlignment="1">
      <alignment horizontal="center" wrapText="1"/>
    </xf>
    <xf numFmtId="0" fontId="5" fillId="2" borderId="2" xfId="0" applyFont="1" applyFill="1" applyBorder="1" applyAlignment="1">
      <alignment horizontal="center" wrapText="1"/>
    </xf>
    <xf numFmtId="0" fontId="5" fillId="2" borderId="7" xfId="0" applyFont="1" applyFill="1" applyBorder="1" applyAlignment="1">
      <alignment horizontal="center" wrapText="1"/>
    </xf>
    <xf numFmtId="0" fontId="5" fillId="2" borderId="19" xfId="0" applyFont="1" applyFill="1" applyBorder="1" applyAlignment="1">
      <alignment horizontal="center" wrapText="1"/>
    </xf>
    <xf numFmtId="0" fontId="5" fillId="2" borderId="13" xfId="0" applyFont="1" applyFill="1" applyBorder="1" applyAlignment="1">
      <alignment horizontal="center" wrapText="1"/>
    </xf>
    <xf numFmtId="0" fontId="5" fillId="2" borderId="20" xfId="0" applyFont="1" applyFill="1" applyBorder="1" applyAlignment="1">
      <alignment horizontal="center" wrapText="1"/>
    </xf>
    <xf numFmtId="0" fontId="5" fillId="4" borderId="39" xfId="0" applyFont="1" applyFill="1" applyBorder="1" applyAlignment="1">
      <alignment horizontal="center" wrapText="1"/>
    </xf>
    <xf numFmtId="0" fontId="5" fillId="4" borderId="10" xfId="0" applyFont="1" applyFill="1" applyBorder="1" applyAlignment="1">
      <alignment horizontal="center" wrapText="1"/>
    </xf>
    <xf numFmtId="0" fontId="5" fillId="4" borderId="38" xfId="0" applyFont="1" applyFill="1" applyBorder="1" applyAlignment="1">
      <alignment horizontal="center" wrapText="1"/>
    </xf>
    <xf numFmtId="0" fontId="6" fillId="15" borderId="0" xfId="0" applyFont="1" applyFill="1" applyAlignment="1">
      <alignment horizontal="center" wrapText="1"/>
    </xf>
    <xf numFmtId="0" fontId="6" fillId="7" borderId="0" xfId="0" applyFont="1" applyFill="1" applyAlignment="1">
      <alignment horizontal="center"/>
    </xf>
    <xf numFmtId="0" fontId="6" fillId="4" borderId="84" xfId="0" applyFont="1" applyFill="1" applyBorder="1" applyAlignment="1">
      <alignment horizontal="center" wrapText="1"/>
    </xf>
    <xf numFmtId="0" fontId="6" fillId="4" borderId="32" xfId="0" applyFont="1" applyFill="1" applyBorder="1" applyAlignment="1">
      <alignment horizontal="center" wrapText="1"/>
    </xf>
    <xf numFmtId="0" fontId="6" fillId="4" borderId="22" xfId="0" applyFont="1" applyFill="1" applyBorder="1" applyAlignment="1">
      <alignment horizontal="center"/>
    </xf>
    <xf numFmtId="0" fontId="6" fillId="4" borderId="21" xfId="0" applyFont="1" applyFill="1" applyBorder="1" applyAlignment="1">
      <alignment horizontal="center" vertical="center" wrapText="1"/>
    </xf>
    <xf numFmtId="0" fontId="5" fillId="4" borderId="37" xfId="0" applyFont="1" applyFill="1" applyBorder="1" applyAlignment="1">
      <alignment horizontal="center" wrapText="1"/>
    </xf>
    <xf numFmtId="0" fontId="5" fillId="4" borderId="32" xfId="0" applyFont="1" applyFill="1" applyBorder="1" applyAlignment="1">
      <alignment horizontal="center" wrapText="1"/>
    </xf>
    <xf numFmtId="0" fontId="5" fillId="4" borderId="15" xfId="0" applyFont="1" applyFill="1" applyBorder="1" applyAlignment="1">
      <alignment horizontal="center" wrapText="1"/>
    </xf>
    <xf numFmtId="0" fontId="5" fillId="4" borderId="12" xfId="0" applyFont="1" applyFill="1" applyBorder="1" applyAlignment="1">
      <alignment horizontal="center" wrapText="1"/>
    </xf>
    <xf numFmtId="0" fontId="5" fillId="4" borderId="5" xfId="0" applyFont="1" applyFill="1" applyBorder="1" applyAlignment="1">
      <alignment horizontal="center" wrapText="1"/>
    </xf>
    <xf numFmtId="0" fontId="6" fillId="0" borderId="0" xfId="0" applyFont="1" applyAlignment="1">
      <alignment horizontal="left" wrapText="1"/>
    </xf>
    <xf numFmtId="0" fontId="6" fillId="0" borderId="0" xfId="0" applyFont="1" applyAlignment="1">
      <alignment wrapText="1"/>
    </xf>
    <xf numFmtId="0" fontId="6" fillId="0" borderId="0" xfId="0" applyFont="1" applyAlignment="1">
      <alignment horizontal="left"/>
    </xf>
    <xf numFmtId="0" fontId="6" fillId="0" borderId="0" xfId="0" applyFont="1" applyAlignment="1">
      <alignment vertical="center" wrapText="1"/>
    </xf>
    <xf numFmtId="0" fontId="6" fillId="0" borderId="0" xfId="0" applyFont="1" applyAlignment="1">
      <alignment horizontal="left" vertical="top" wrapText="1"/>
    </xf>
    <xf numFmtId="0" fontId="6" fillId="8" borderId="84" xfId="0" applyFont="1" applyFill="1" applyBorder="1" applyAlignment="1">
      <alignment horizontal="center" wrapText="1"/>
    </xf>
    <xf numFmtId="0" fontId="6" fillId="8" borderId="32" xfId="0" applyFont="1" applyFill="1" applyBorder="1" applyAlignment="1">
      <alignment horizontal="center" wrapText="1"/>
    </xf>
    <xf numFmtId="43" fontId="6" fillId="15" borderId="0" xfId="1" applyFont="1" applyFill="1" applyAlignment="1">
      <alignment horizontal="left" vertical="center" wrapText="1"/>
    </xf>
    <xf numFmtId="0" fontId="6" fillId="0" borderId="0" xfId="0" applyFont="1" applyAlignment="1">
      <alignment horizontal="center" vertical="center"/>
    </xf>
    <xf numFmtId="0" fontId="6" fillId="15" borderId="0" xfId="0" applyFont="1" applyFill="1" applyAlignment="1">
      <alignment horizontal="center" vertical="center"/>
    </xf>
    <xf numFmtId="0" fontId="15" fillId="4" borderId="39" xfId="0" applyFont="1" applyFill="1" applyBorder="1" applyAlignment="1">
      <alignment horizontal="center" wrapText="1"/>
    </xf>
    <xf numFmtId="0" fontId="15" fillId="4" borderId="37" xfId="0" applyFont="1" applyFill="1" applyBorder="1" applyAlignment="1">
      <alignment horizontal="center" wrapText="1"/>
    </xf>
    <xf numFmtId="0" fontId="15" fillId="4" borderId="32" xfId="0" applyFont="1" applyFill="1" applyBorder="1" applyAlignment="1">
      <alignment horizontal="center" wrapText="1"/>
    </xf>
    <xf numFmtId="0" fontId="5" fillId="4" borderId="3" xfId="0" applyFont="1" applyFill="1" applyBorder="1" applyAlignment="1">
      <alignment horizontal="center" wrapText="1"/>
    </xf>
    <xf numFmtId="0" fontId="5" fillId="4" borderId="82" xfId="0" applyFont="1" applyFill="1" applyBorder="1" applyAlignment="1">
      <alignment horizontal="center" wrapText="1"/>
    </xf>
    <xf numFmtId="0" fontId="6" fillId="15" borderId="0" xfId="0" applyFont="1" applyFill="1" applyAlignment="1">
      <alignment horizontal="center" vertical="center" wrapText="1"/>
    </xf>
    <xf numFmtId="0" fontId="6" fillId="7" borderId="0" xfId="0" applyFont="1" applyFill="1" applyAlignment="1">
      <alignment horizontal="center" vertical="center"/>
    </xf>
    <xf numFmtId="0" fontId="5" fillId="4" borderId="0" xfId="0" applyFont="1" applyFill="1" applyAlignment="1">
      <alignment horizontal="center" wrapText="1"/>
    </xf>
    <xf numFmtId="0" fontId="5" fillId="4" borderId="31" xfId="0" applyFont="1" applyFill="1" applyBorder="1" applyAlignment="1">
      <alignment horizontal="center" wrapText="1"/>
    </xf>
    <xf numFmtId="0" fontId="6" fillId="4" borderId="64" xfId="0" applyFont="1" applyFill="1" applyBorder="1" applyAlignment="1">
      <alignment horizontal="center" vertical="center" wrapText="1"/>
    </xf>
    <xf numFmtId="0" fontId="5" fillId="4" borderId="14" xfId="0" applyFont="1" applyFill="1" applyBorder="1" applyAlignment="1">
      <alignment horizontal="center" wrapText="1"/>
    </xf>
    <xf numFmtId="0" fontId="5" fillId="4" borderId="25" xfId="0" applyFont="1" applyFill="1" applyBorder="1" applyAlignment="1">
      <alignment horizontal="center" wrapText="1"/>
    </xf>
    <xf numFmtId="0" fontId="5" fillId="4" borderId="27" xfId="0" applyFont="1" applyFill="1" applyBorder="1" applyAlignment="1">
      <alignment horizontal="center" wrapText="1"/>
    </xf>
    <xf numFmtId="0" fontId="6" fillId="4" borderId="61" xfId="0" applyFont="1" applyFill="1" applyBorder="1" applyAlignment="1">
      <alignment horizontal="center" wrapText="1"/>
    </xf>
    <xf numFmtId="0" fontId="6" fillId="4" borderId="20" xfId="0" applyFont="1" applyFill="1" applyBorder="1" applyAlignment="1">
      <alignment horizontal="center" wrapText="1"/>
    </xf>
    <xf numFmtId="0" fontId="6" fillId="4" borderId="66" xfId="0" applyFont="1" applyFill="1" applyBorder="1" applyAlignment="1">
      <alignment horizontal="center"/>
    </xf>
    <xf numFmtId="0" fontId="6" fillId="4" borderId="23" xfId="0" applyFont="1" applyFill="1" applyBorder="1" applyAlignment="1">
      <alignment horizontal="center"/>
    </xf>
    <xf numFmtId="0" fontId="5" fillId="12" borderId="10" xfId="0" applyFont="1" applyFill="1" applyBorder="1" applyAlignment="1">
      <alignment horizontal="center"/>
    </xf>
    <xf numFmtId="0" fontId="5" fillId="12" borderId="38" xfId="0" applyFont="1" applyFill="1" applyBorder="1" applyAlignment="1">
      <alignment horizontal="center"/>
    </xf>
    <xf numFmtId="0" fontId="6" fillId="2" borderId="66" xfId="0" applyFont="1" applyFill="1" applyBorder="1" applyAlignment="1">
      <alignment horizontal="center" vertical="center" wrapText="1"/>
    </xf>
    <xf numFmtId="165" fontId="6" fillId="16" borderId="27" xfId="2" applyNumberFormat="1" applyFont="1" applyFill="1" applyBorder="1" applyAlignment="1">
      <alignment horizontal="center" vertical="center"/>
    </xf>
    <xf numFmtId="165" fontId="6" fillId="16" borderId="28" xfId="2" applyNumberFormat="1" applyFont="1" applyFill="1" applyBorder="1" applyAlignment="1">
      <alignment horizontal="center" vertical="center"/>
    </xf>
    <xf numFmtId="165" fontId="6" fillId="16" borderId="87" xfId="2" applyNumberFormat="1" applyFont="1" applyFill="1" applyBorder="1" applyAlignment="1">
      <alignment horizontal="center" vertical="center"/>
    </xf>
    <xf numFmtId="0" fontId="6" fillId="8" borderId="48" xfId="0" applyFont="1" applyFill="1" applyBorder="1" applyAlignment="1">
      <alignment horizontal="center" wrapText="1"/>
    </xf>
    <xf numFmtId="0" fontId="6" fillId="8" borderId="47" xfId="0" applyFont="1" applyFill="1" applyBorder="1" applyAlignment="1">
      <alignment horizontal="center" wrapText="1"/>
    </xf>
    <xf numFmtId="0" fontId="5" fillId="4" borderId="21"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6" fillId="4" borderId="84"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2" xfId="0" applyFont="1" applyFill="1" applyBorder="1" applyAlignment="1">
      <alignment horizontal="center" vertical="center" wrapText="1"/>
    </xf>
    <xf numFmtId="0" fontId="5" fillId="4" borderId="24" xfId="0" applyFont="1" applyFill="1" applyBorder="1" applyAlignment="1">
      <alignment horizontal="center" wrapText="1"/>
    </xf>
    <xf numFmtId="0" fontId="5" fillId="4" borderId="15" xfId="0" applyFont="1" applyFill="1" applyBorder="1" applyAlignment="1">
      <alignment horizontal="center" vertical="center" wrapText="1"/>
    </xf>
    <xf numFmtId="0" fontId="5" fillId="4" borderId="28" xfId="0" applyFont="1" applyFill="1" applyBorder="1" applyAlignment="1">
      <alignment horizontal="center" wrapText="1"/>
    </xf>
    <xf numFmtId="0" fontId="5" fillId="4" borderId="33" xfId="0" applyFont="1" applyFill="1" applyBorder="1" applyAlignment="1">
      <alignment horizontal="center" wrapText="1"/>
    </xf>
    <xf numFmtId="0" fontId="5" fillId="0" borderId="0" xfId="0" applyFont="1" applyAlignment="1">
      <alignment horizontal="center" vertical="center"/>
    </xf>
    <xf numFmtId="0" fontId="5" fillId="4" borderId="9"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64" xfId="0" applyFont="1" applyFill="1" applyBorder="1" applyAlignment="1">
      <alignment horizontal="center" wrapText="1"/>
    </xf>
    <xf numFmtId="0" fontId="1" fillId="3" borderId="9" xfId="0" applyFont="1" applyFill="1" applyBorder="1" applyAlignment="1">
      <alignment horizontal="center" vertical="center" wrapText="1"/>
    </xf>
    <xf numFmtId="0" fontId="1" fillId="3" borderId="9" xfId="0" applyFont="1" applyFill="1" applyBorder="1" applyAlignment="1">
      <alignment horizontal="center" vertical="center"/>
    </xf>
    <xf numFmtId="0" fontId="1" fillId="3" borderId="10" xfId="0" applyFont="1" applyFill="1" applyBorder="1" applyAlignment="1">
      <alignment horizontal="center" vertical="center"/>
    </xf>
    <xf numFmtId="0" fontId="2" fillId="4" borderId="24" xfId="2" applyNumberFormat="1" applyFont="1" applyFill="1" applyBorder="1" applyAlignment="1">
      <alignment horizontal="center" vertical="center"/>
    </xf>
    <xf numFmtId="0" fontId="2" fillId="4" borderId="25" xfId="2" applyNumberFormat="1" applyFont="1" applyFill="1" applyBorder="1" applyAlignment="1">
      <alignment horizontal="center" vertical="center"/>
    </xf>
    <xf numFmtId="0" fontId="1" fillId="3" borderId="17"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14" xfId="0" applyFont="1" applyFill="1" applyBorder="1" applyAlignment="1">
      <alignment horizontal="center" vertical="center" wrapText="1"/>
    </xf>
    <xf numFmtId="0" fontId="1" fillId="3" borderId="14"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9" xfId="0" applyFont="1" applyFill="1" applyBorder="1" applyAlignment="1">
      <alignment horizontal="center" vertical="center"/>
    </xf>
    <xf numFmtId="9" fontId="0" fillId="4" borderId="38" xfId="0" applyNumberFormat="1" applyFill="1" applyBorder="1" applyAlignment="1">
      <alignment horizontal="center" vertical="center"/>
    </xf>
    <xf numFmtId="9" fontId="0" fillId="4" borderId="59" xfId="0" applyNumberFormat="1" applyFill="1" applyBorder="1" applyAlignment="1">
      <alignment horizontal="center" vertical="center"/>
    </xf>
    <xf numFmtId="0" fontId="0" fillId="4" borderId="15" xfId="0" applyFill="1" applyBorder="1" applyAlignment="1">
      <alignment horizontal="center" vertical="center"/>
    </xf>
    <xf numFmtId="0" fontId="1" fillId="3" borderId="18" xfId="0" applyFont="1" applyFill="1" applyBorder="1" applyAlignment="1">
      <alignment horizontal="left" vertical="center"/>
    </xf>
    <xf numFmtId="9" fontId="0" fillId="5" borderId="24" xfId="0" applyNumberFormat="1" applyFill="1" applyBorder="1" applyAlignment="1">
      <alignment horizontal="center" vertical="center"/>
    </xf>
    <xf numFmtId="9" fontId="0" fillId="5" borderId="25" xfId="0" applyNumberFormat="1" applyFill="1" applyBorder="1" applyAlignment="1">
      <alignment horizontal="center" vertical="center"/>
    </xf>
    <xf numFmtId="0" fontId="1" fillId="3" borderId="15" xfId="0" applyFont="1" applyFill="1" applyBorder="1" applyAlignment="1">
      <alignment horizontal="center" vertical="center"/>
    </xf>
    <xf numFmtId="0" fontId="0" fillId="5" borderId="14" xfId="0" applyFill="1" applyBorder="1" applyAlignment="1">
      <alignment horizontal="center" vertical="center"/>
    </xf>
    <xf numFmtId="0" fontId="1" fillId="3" borderId="61" xfId="0" applyFont="1" applyFill="1" applyBorder="1" applyAlignment="1">
      <alignment horizontal="left" vertical="center"/>
    </xf>
    <xf numFmtId="0" fontId="1" fillId="3" borderId="34" xfId="0" applyFont="1" applyFill="1" applyBorder="1" applyAlignment="1">
      <alignment horizontal="left" vertical="center"/>
    </xf>
    <xf numFmtId="0" fontId="1" fillId="3" borderId="60" xfId="0" applyFont="1" applyFill="1" applyBorder="1" applyAlignment="1">
      <alignment horizontal="left" vertical="center"/>
    </xf>
    <xf numFmtId="0" fontId="1" fillId="3" borderId="2"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25" xfId="0" applyFont="1" applyFill="1" applyBorder="1" applyAlignment="1">
      <alignment horizontal="center" vertical="center" wrapText="1"/>
    </xf>
    <xf numFmtId="165" fontId="2" fillId="5" borderId="14" xfId="2" applyNumberFormat="1" applyFont="1" applyFill="1" applyBorder="1" applyAlignment="1">
      <alignment horizontal="center" vertical="center"/>
    </xf>
    <xf numFmtId="165" fontId="2" fillId="5" borderId="11" xfId="2" applyNumberFormat="1" applyFont="1" applyFill="1" applyBorder="1" applyAlignment="1">
      <alignment horizontal="center" vertical="center"/>
    </xf>
    <xf numFmtId="0" fontId="2" fillId="5" borderId="14" xfId="2" applyNumberFormat="1" applyFont="1" applyFill="1" applyBorder="1" applyAlignment="1">
      <alignment horizontal="center" vertical="center"/>
    </xf>
    <xf numFmtId="0" fontId="2" fillId="5" borderId="11" xfId="2" applyNumberFormat="1" applyFont="1" applyFill="1" applyBorder="1" applyAlignment="1">
      <alignment horizontal="center" vertical="center"/>
    </xf>
    <xf numFmtId="9" fontId="0" fillId="4" borderId="15" xfId="0" applyNumberFormat="1" applyFill="1" applyBorder="1" applyAlignment="1">
      <alignment horizontal="center" vertical="center"/>
    </xf>
    <xf numFmtId="0" fontId="1" fillId="3" borderId="24" xfId="0" applyFont="1" applyFill="1" applyBorder="1" applyAlignment="1">
      <alignment horizontal="center" vertical="center" wrapText="1"/>
    </xf>
    <xf numFmtId="9" fontId="0" fillId="5" borderId="14" xfId="0" applyNumberFormat="1" applyFill="1" applyBorder="1" applyAlignment="1">
      <alignment horizontal="center" vertical="center"/>
    </xf>
    <xf numFmtId="0" fontId="1" fillId="3" borderId="46" xfId="0" applyFont="1" applyFill="1" applyBorder="1" applyAlignment="1">
      <alignment horizontal="left" vertical="center"/>
    </xf>
    <xf numFmtId="0" fontId="1" fillId="3" borderId="48" xfId="0" applyFont="1" applyFill="1" applyBorder="1" applyAlignment="1">
      <alignment horizontal="left" vertical="center"/>
    </xf>
    <xf numFmtId="0" fontId="1" fillId="3" borderId="7" xfId="0" applyFont="1" applyFill="1" applyBorder="1" applyAlignment="1">
      <alignment horizontal="center" vertical="center" wrapText="1"/>
    </xf>
    <xf numFmtId="0" fontId="2" fillId="4" borderId="14" xfId="2" applyNumberFormat="1" applyFont="1" applyFill="1" applyBorder="1" applyAlignment="1">
      <alignment horizontal="center" vertical="center"/>
    </xf>
    <xf numFmtId="0" fontId="2" fillId="4" borderId="11" xfId="2" applyNumberFormat="1" applyFont="1" applyFill="1" applyBorder="1" applyAlignment="1">
      <alignment horizontal="center" vertical="center"/>
    </xf>
    <xf numFmtId="9" fontId="0" fillId="5" borderId="11" xfId="0" applyNumberFormat="1" applyFill="1" applyBorder="1" applyAlignment="1">
      <alignment horizontal="center" vertical="center"/>
    </xf>
    <xf numFmtId="9" fontId="0" fillId="4" borderId="12" xfId="0" applyNumberFormat="1" applyFill="1" applyBorder="1" applyAlignment="1">
      <alignment horizontal="center" vertical="center"/>
    </xf>
    <xf numFmtId="44" fontId="2" fillId="5" borderId="14" xfId="2" applyFont="1" applyFill="1" applyBorder="1" applyAlignment="1">
      <alignment horizontal="center" vertical="center"/>
    </xf>
    <xf numFmtId="9" fontId="0" fillId="5" borderId="23" xfId="0" applyNumberFormat="1" applyFill="1" applyBorder="1" applyAlignment="1">
      <alignment horizontal="center" vertical="center"/>
    </xf>
    <xf numFmtId="9" fontId="0" fillId="6" borderId="0" xfId="0" applyNumberFormat="1" applyFill="1" applyAlignment="1">
      <alignment horizontal="center" vertical="center"/>
    </xf>
    <xf numFmtId="0" fontId="1" fillId="3" borderId="62" xfId="0" applyFont="1" applyFill="1" applyBorder="1" applyAlignment="1">
      <alignment horizontal="left" vertical="center"/>
    </xf>
    <xf numFmtId="0" fontId="0" fillId="6" borderId="0" xfId="0" applyFill="1" applyAlignment="1">
      <alignment horizontal="center" vertical="center"/>
    </xf>
    <xf numFmtId="0" fontId="0" fillId="3" borderId="14" xfId="0" applyFill="1" applyBorder="1" applyAlignment="1">
      <alignment horizontal="center" vertical="center"/>
    </xf>
    <xf numFmtId="0" fontId="1" fillId="3" borderId="14" xfId="0" applyFont="1" applyFill="1" applyBorder="1" applyAlignment="1">
      <alignment horizontal="left" vertical="center"/>
    </xf>
    <xf numFmtId="0" fontId="1" fillId="3" borderId="15" xfId="0" applyFont="1" applyFill="1" applyBorder="1" applyAlignment="1">
      <alignment horizontal="left" vertical="center"/>
    </xf>
    <xf numFmtId="9" fontId="0" fillId="5" borderId="7" xfId="0" applyNumberFormat="1" applyFill="1" applyBorder="1" applyAlignment="1">
      <alignment horizontal="center" vertical="center"/>
    </xf>
    <xf numFmtId="9" fontId="0" fillId="4" borderId="8" xfId="0" applyNumberFormat="1" applyFill="1" applyBorder="1" applyAlignment="1">
      <alignment horizontal="center" vertical="center"/>
    </xf>
    <xf numFmtId="0" fontId="1" fillId="6" borderId="0" xfId="0" applyFont="1" applyFill="1" applyAlignment="1">
      <alignment horizontal="center" vertical="center"/>
    </xf>
    <xf numFmtId="0" fontId="1" fillId="3" borderId="39" xfId="0" applyFont="1" applyFill="1" applyBorder="1" applyAlignment="1">
      <alignment horizontal="center" vertical="center"/>
    </xf>
    <xf numFmtId="0" fontId="1" fillId="3" borderId="63" xfId="0" applyFont="1" applyFill="1" applyBorder="1" applyAlignment="1">
      <alignment horizontal="center" vertical="center"/>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0" fontId="1" fillId="0" borderId="69" xfId="0" applyFont="1" applyBorder="1" applyAlignment="1">
      <alignment horizontal="center" vertical="center" wrapText="1"/>
    </xf>
    <xf numFmtId="0" fontId="17" fillId="0" borderId="0" xfId="0" applyFont="1"/>
    <xf numFmtId="0" fontId="17" fillId="0" borderId="0" xfId="0" applyFont="1"/>
  </cellXfs>
  <cellStyles count="4">
    <cellStyle name="Comma" xfId="1" builtinId="3"/>
    <cellStyle name="Currency" xfId="2" builtinId="4"/>
    <cellStyle name="Normal" xfId="0" builtinId="0"/>
    <cellStyle name="Percent" xfId="3" builtinId="5"/>
  </cellStyles>
  <dxfs count="276">
    <dxf>
      <font>
        <color auto="1"/>
      </font>
      <fill>
        <patternFill>
          <bgColor theme="5" tint="0.59996337778862885"/>
        </patternFill>
      </fill>
    </dxf>
    <dxf>
      <fill>
        <patternFill>
          <bgColor theme="9" tint="0.39994506668294322"/>
        </patternFill>
      </fill>
    </dxf>
    <dxf>
      <fill>
        <patternFill>
          <bgColor theme="9" tint="0.59996337778862885"/>
        </patternFill>
      </fill>
    </dxf>
    <dxf>
      <fill>
        <patternFill>
          <bgColor theme="7" tint="0.59996337778862885"/>
        </patternFill>
      </fill>
    </dxf>
    <dxf>
      <fill>
        <patternFill>
          <bgColor theme="5" tint="0.59996337778862885"/>
        </patternFill>
      </fill>
    </dxf>
    <dxf>
      <fill>
        <patternFill>
          <bgColor theme="7" tint="0.39994506668294322"/>
        </patternFill>
      </fill>
    </dxf>
    <dxf>
      <fill>
        <patternFill>
          <bgColor theme="9" tint="0.39994506668294322"/>
        </patternFill>
      </fill>
    </dxf>
    <dxf>
      <fill>
        <patternFill>
          <bgColor theme="9" tint="0.59996337778862885"/>
        </patternFill>
      </fill>
    </dxf>
    <dxf>
      <fill>
        <patternFill>
          <bgColor theme="7" tint="0.39994506668294322"/>
        </patternFill>
      </fill>
    </dxf>
    <dxf>
      <fill>
        <patternFill>
          <bgColor theme="5" tint="0.39994506668294322"/>
        </patternFill>
      </fill>
    </dxf>
    <dxf>
      <font>
        <color auto="1"/>
      </font>
      <fill>
        <patternFill>
          <bgColor theme="5" tint="0.59996337778862885"/>
        </patternFill>
      </fill>
    </dxf>
    <dxf>
      <fill>
        <patternFill>
          <bgColor theme="9" tint="0.39994506668294322"/>
        </patternFill>
      </fill>
    </dxf>
    <dxf>
      <fill>
        <patternFill>
          <bgColor theme="9" tint="0.59996337778862885"/>
        </patternFill>
      </fill>
    </dxf>
    <dxf>
      <fill>
        <patternFill>
          <bgColor theme="7" tint="0.59996337778862885"/>
        </patternFill>
      </fill>
    </dxf>
    <dxf>
      <fill>
        <patternFill>
          <bgColor theme="5" tint="0.59996337778862885"/>
        </patternFill>
      </fill>
    </dxf>
    <dxf>
      <fill>
        <patternFill>
          <bgColor theme="7" tint="0.39994506668294322"/>
        </patternFill>
      </fill>
    </dxf>
    <dxf>
      <fill>
        <patternFill>
          <bgColor theme="9" tint="0.39994506668294322"/>
        </patternFill>
      </fill>
    </dxf>
    <dxf>
      <fill>
        <patternFill>
          <bgColor theme="9" tint="0.59996337778862885"/>
        </patternFill>
      </fill>
    </dxf>
    <dxf>
      <fill>
        <patternFill>
          <bgColor theme="7" tint="0.39994506668294322"/>
        </patternFill>
      </fill>
    </dxf>
    <dxf>
      <fill>
        <patternFill>
          <bgColor theme="5" tint="0.39994506668294322"/>
        </patternFill>
      </fill>
    </dxf>
    <dxf>
      <font>
        <color auto="1"/>
      </font>
      <fill>
        <patternFill>
          <bgColor theme="5" tint="0.59996337778862885"/>
        </patternFill>
      </fill>
    </dxf>
    <dxf>
      <fill>
        <patternFill>
          <bgColor theme="9" tint="0.39994506668294322"/>
        </patternFill>
      </fill>
    </dxf>
    <dxf>
      <fill>
        <patternFill>
          <bgColor theme="9" tint="0.59996337778862885"/>
        </patternFill>
      </fill>
    </dxf>
    <dxf>
      <fill>
        <patternFill>
          <bgColor theme="7" tint="0.59996337778862885"/>
        </patternFill>
      </fill>
    </dxf>
    <dxf>
      <fill>
        <patternFill>
          <bgColor theme="5" tint="0.59996337778862885"/>
        </patternFill>
      </fill>
    </dxf>
    <dxf>
      <fill>
        <patternFill>
          <bgColor theme="7" tint="0.39994506668294322"/>
        </patternFill>
      </fill>
    </dxf>
    <dxf>
      <fill>
        <patternFill>
          <bgColor theme="9" tint="0.39994506668294322"/>
        </patternFill>
      </fill>
    </dxf>
    <dxf>
      <fill>
        <patternFill>
          <bgColor theme="9" tint="0.59996337778862885"/>
        </patternFill>
      </fill>
    </dxf>
    <dxf>
      <fill>
        <patternFill>
          <bgColor theme="7" tint="0.39994506668294322"/>
        </patternFill>
      </fill>
    </dxf>
    <dxf>
      <fill>
        <patternFill>
          <bgColor theme="5" tint="0.39994506668294322"/>
        </patternFill>
      </fill>
    </dxf>
    <dxf>
      <font>
        <color auto="1"/>
      </font>
      <fill>
        <patternFill>
          <bgColor theme="5" tint="0.59996337778862885"/>
        </patternFill>
      </fill>
    </dxf>
    <dxf>
      <fill>
        <patternFill>
          <bgColor theme="9" tint="0.39994506668294322"/>
        </patternFill>
      </fill>
    </dxf>
    <dxf>
      <fill>
        <patternFill>
          <bgColor theme="9" tint="0.59996337778862885"/>
        </patternFill>
      </fill>
    </dxf>
    <dxf>
      <fill>
        <patternFill>
          <bgColor theme="7" tint="0.59996337778862885"/>
        </patternFill>
      </fill>
    </dxf>
    <dxf>
      <fill>
        <patternFill>
          <bgColor theme="5" tint="0.59996337778862885"/>
        </patternFill>
      </fill>
    </dxf>
    <dxf>
      <fill>
        <patternFill>
          <bgColor theme="9" tint="0.39994506668294322"/>
        </patternFill>
      </fill>
    </dxf>
    <dxf>
      <fill>
        <patternFill>
          <bgColor theme="9" tint="0.59996337778862885"/>
        </patternFill>
      </fill>
    </dxf>
    <dxf>
      <fill>
        <patternFill>
          <bgColor theme="7" tint="0.59996337778862885"/>
        </patternFill>
      </fill>
    </dxf>
    <dxf>
      <fill>
        <patternFill>
          <bgColor theme="5" tint="0.59996337778862885"/>
        </patternFill>
      </fill>
    </dxf>
    <dxf>
      <font>
        <color auto="1"/>
      </font>
      <fill>
        <patternFill>
          <bgColor theme="5" tint="0.59996337778862885"/>
        </patternFill>
      </fill>
    </dxf>
    <dxf>
      <fill>
        <patternFill>
          <bgColor theme="9" tint="0.39994506668294322"/>
        </patternFill>
      </fill>
    </dxf>
    <dxf>
      <fill>
        <patternFill>
          <bgColor theme="9" tint="0.59996337778862885"/>
        </patternFill>
      </fill>
    </dxf>
    <dxf>
      <fill>
        <patternFill>
          <bgColor theme="7" tint="0.59996337778862885"/>
        </patternFill>
      </fill>
    </dxf>
    <dxf>
      <fill>
        <patternFill>
          <bgColor theme="5" tint="0.59996337778862885"/>
        </patternFill>
      </fill>
    </dxf>
    <dxf>
      <fill>
        <patternFill>
          <bgColor theme="9" tint="0.39994506668294322"/>
        </patternFill>
      </fill>
    </dxf>
    <dxf>
      <fill>
        <patternFill>
          <bgColor theme="9" tint="0.59996337778862885"/>
        </patternFill>
      </fill>
    </dxf>
    <dxf>
      <fill>
        <patternFill>
          <bgColor theme="7" tint="0.59996337778862885"/>
        </patternFill>
      </fill>
    </dxf>
    <dxf>
      <fill>
        <patternFill>
          <bgColor theme="5" tint="0.59996337778862885"/>
        </patternFill>
      </fill>
    </dxf>
    <dxf>
      <fill>
        <patternFill>
          <bgColor theme="9"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39994506668294322"/>
        </patternFill>
      </fill>
    </dxf>
    <dxf>
      <fill>
        <patternFill>
          <bgColor theme="9" tint="0.59996337778862885"/>
        </patternFill>
      </fill>
    </dxf>
    <dxf>
      <fill>
        <patternFill>
          <bgColor theme="7" tint="0.59996337778862885"/>
        </patternFill>
      </fill>
    </dxf>
    <dxf>
      <fill>
        <patternFill>
          <bgColor theme="5" tint="0.59996337778862885"/>
        </patternFill>
      </fill>
    </dxf>
    <dxf>
      <fill>
        <patternFill>
          <bgColor theme="9" tint="0.39994506668294322"/>
        </patternFill>
      </fill>
    </dxf>
    <dxf>
      <fill>
        <patternFill>
          <bgColor theme="9" tint="0.59996337778862885"/>
        </patternFill>
      </fill>
    </dxf>
    <dxf>
      <fill>
        <patternFill>
          <bgColor theme="7" tint="0.59996337778862885"/>
        </patternFill>
      </fill>
    </dxf>
    <dxf>
      <fill>
        <patternFill>
          <bgColor theme="5" tint="0.59996337778862885"/>
        </patternFill>
      </fill>
    </dxf>
    <dxf>
      <fill>
        <patternFill>
          <bgColor theme="9"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39994506668294322"/>
        </patternFill>
      </fill>
    </dxf>
    <dxf>
      <fill>
        <patternFill>
          <bgColor theme="9" tint="0.59996337778862885"/>
        </patternFill>
      </fill>
    </dxf>
    <dxf>
      <fill>
        <patternFill>
          <bgColor theme="7" tint="0.59996337778862885"/>
        </patternFill>
      </fill>
    </dxf>
    <dxf>
      <fill>
        <patternFill>
          <bgColor theme="5" tint="0.59996337778862885"/>
        </patternFill>
      </fill>
    </dxf>
    <dxf>
      <font>
        <color auto="1"/>
      </font>
      <fill>
        <patternFill>
          <bgColor theme="5" tint="0.59996337778862885"/>
        </patternFill>
      </fill>
    </dxf>
    <dxf>
      <fill>
        <patternFill>
          <bgColor theme="9" tint="0.39994506668294322"/>
        </patternFill>
      </fill>
    </dxf>
    <dxf>
      <fill>
        <patternFill>
          <bgColor theme="9" tint="0.59996337778862885"/>
        </patternFill>
      </fill>
    </dxf>
    <dxf>
      <fill>
        <patternFill>
          <bgColor theme="7" tint="0.59996337778862885"/>
        </patternFill>
      </fill>
    </dxf>
    <dxf>
      <fill>
        <patternFill>
          <bgColor theme="5" tint="0.59996337778862885"/>
        </patternFill>
      </fill>
    </dxf>
    <dxf>
      <fill>
        <patternFill>
          <bgColor theme="9"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39994506668294322"/>
        </patternFill>
      </fill>
    </dxf>
    <dxf>
      <fill>
        <patternFill>
          <bgColor theme="9" tint="0.59996337778862885"/>
        </patternFill>
      </fill>
    </dxf>
    <dxf>
      <fill>
        <patternFill>
          <bgColor theme="7" tint="0.59996337778862885"/>
        </patternFill>
      </fill>
    </dxf>
    <dxf>
      <fill>
        <patternFill>
          <bgColor theme="5" tint="0.59996337778862885"/>
        </patternFill>
      </fill>
    </dxf>
    <dxf>
      <fill>
        <patternFill>
          <bgColor theme="9"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ont>
        <color auto="1"/>
      </font>
      <fill>
        <patternFill>
          <bgColor theme="5" tint="0.39994506668294322"/>
        </patternFill>
      </fill>
    </dxf>
    <dxf>
      <fill>
        <patternFill>
          <bgColor theme="9" tint="0.59996337778862885"/>
        </patternFill>
      </fill>
    </dxf>
    <dxf>
      <fill>
        <patternFill>
          <bgColor theme="7" tint="0.39994506668294322"/>
        </patternFill>
      </fill>
    </dxf>
    <dxf>
      <fill>
        <patternFill>
          <bgColor theme="5" tint="0.39994506668294322"/>
        </patternFill>
      </fill>
    </dxf>
    <dxf>
      <fill>
        <patternFill>
          <bgColor theme="9"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7" tint="0.39994506668294322"/>
        </patternFill>
      </fill>
    </dxf>
    <dxf>
      <fill>
        <patternFill>
          <bgColor theme="5" tint="0.39994506668294322"/>
        </patternFill>
      </fill>
    </dxf>
    <dxf>
      <fill>
        <patternFill>
          <bgColor theme="9" tint="0.59996337778862885"/>
        </patternFill>
      </fill>
    </dxf>
    <dxf>
      <font>
        <color auto="1"/>
      </font>
      <fill>
        <patternFill>
          <bgColor theme="5" tint="0.39994506668294322"/>
        </patternFill>
      </fill>
    </dxf>
    <dxf>
      <fill>
        <patternFill>
          <bgColor theme="9" tint="0.59996337778862885"/>
        </patternFill>
      </fill>
    </dxf>
    <dxf>
      <fill>
        <patternFill>
          <bgColor theme="7" tint="0.39994506668294322"/>
        </patternFill>
      </fill>
    </dxf>
    <dxf>
      <fill>
        <patternFill>
          <bgColor theme="5" tint="0.39994506668294322"/>
        </patternFill>
      </fill>
    </dxf>
    <dxf>
      <fill>
        <patternFill>
          <bgColor theme="9"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7" tint="0.39994506668294322"/>
        </patternFill>
      </fill>
    </dxf>
    <dxf>
      <fill>
        <patternFill>
          <bgColor theme="5" tint="0.39994506668294322"/>
        </patternFill>
      </fill>
    </dxf>
    <dxf>
      <fill>
        <patternFill>
          <bgColor theme="9" tint="0.59996337778862885"/>
        </patternFill>
      </fill>
    </dxf>
    <dxf>
      <font>
        <color auto="1"/>
      </font>
      <fill>
        <patternFill>
          <bgColor theme="5" tint="0.59996337778862885"/>
        </patternFill>
      </fill>
    </dxf>
    <dxf>
      <fill>
        <patternFill>
          <bgColor theme="9" tint="0.39994506668294322"/>
        </patternFill>
      </fill>
    </dxf>
    <dxf>
      <fill>
        <patternFill>
          <bgColor theme="9" tint="0.59996337778862885"/>
        </patternFill>
      </fill>
    </dxf>
    <dxf>
      <fill>
        <patternFill>
          <bgColor theme="7" tint="0.59996337778862885"/>
        </patternFill>
      </fill>
    </dxf>
    <dxf>
      <fill>
        <patternFill>
          <bgColor theme="5" tint="0.59996337778862885"/>
        </patternFill>
      </fill>
    </dxf>
    <dxf>
      <fill>
        <patternFill>
          <bgColor theme="9"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7" tint="0.39994506668294322"/>
        </patternFill>
      </fill>
    </dxf>
    <dxf>
      <fill>
        <patternFill>
          <bgColor theme="5" tint="0.39994506668294322"/>
        </patternFill>
      </fill>
    </dxf>
    <dxf>
      <fill>
        <patternFill>
          <bgColor theme="9" tint="0.59996337778862885"/>
        </patternFill>
      </fill>
    </dxf>
    <dxf>
      <fill>
        <patternFill>
          <bgColor theme="9"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ont>
        <color auto="1"/>
      </font>
      <fill>
        <patternFill>
          <bgColor theme="5" tint="0.39994506668294322"/>
        </patternFill>
      </fill>
    </dxf>
    <dxf>
      <fill>
        <patternFill>
          <bgColor theme="9" tint="0.59996337778862885"/>
        </patternFill>
      </fill>
    </dxf>
    <dxf>
      <fill>
        <patternFill>
          <bgColor theme="7" tint="0.39994506668294322"/>
        </patternFill>
      </fill>
    </dxf>
    <dxf>
      <fill>
        <patternFill>
          <bgColor theme="5" tint="0.39994506668294322"/>
        </patternFill>
      </fill>
    </dxf>
    <dxf>
      <fill>
        <patternFill>
          <bgColor theme="9"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7" tint="0.39994506668294322"/>
        </patternFill>
      </fill>
    </dxf>
    <dxf>
      <fill>
        <patternFill>
          <bgColor theme="5" tint="0.39994506668294322"/>
        </patternFill>
      </fill>
    </dxf>
    <dxf>
      <fill>
        <patternFill>
          <bgColor theme="9" tint="0.59996337778862885"/>
        </patternFill>
      </fill>
    </dxf>
    <dxf>
      <fill>
        <patternFill>
          <bgColor theme="9" tint="0.39994506668294322"/>
        </patternFill>
      </fill>
    </dxf>
    <dxf>
      <fill>
        <patternFill>
          <bgColor theme="9" tint="0.39994506668294322"/>
        </patternFill>
      </fill>
    </dxf>
    <dxf>
      <fill>
        <patternFill>
          <bgColor theme="7" tint="0.39994506668294322"/>
        </patternFill>
      </fill>
    </dxf>
    <dxf>
      <fill>
        <patternFill>
          <bgColor theme="5" tint="0.39994506668294322"/>
        </patternFill>
      </fill>
    </dxf>
    <dxf>
      <fill>
        <patternFill>
          <bgColor theme="9" tint="0.59996337778862885"/>
        </patternFill>
      </fill>
    </dxf>
    <dxf>
      <font>
        <color auto="1"/>
      </font>
      <fill>
        <patternFill>
          <bgColor theme="5" tint="0.59996337778862885"/>
        </patternFill>
      </fill>
    </dxf>
    <dxf>
      <fill>
        <patternFill>
          <bgColor theme="9" tint="0.39994506668294322"/>
        </patternFill>
      </fill>
    </dxf>
    <dxf>
      <fill>
        <patternFill>
          <bgColor theme="9" tint="0.59996337778862885"/>
        </patternFill>
      </fill>
    </dxf>
    <dxf>
      <fill>
        <patternFill>
          <bgColor theme="7" tint="0.59996337778862885"/>
        </patternFill>
      </fill>
    </dxf>
    <dxf>
      <fill>
        <patternFill>
          <bgColor theme="5" tint="0.59996337778862885"/>
        </patternFill>
      </fill>
    </dxf>
    <dxf>
      <fill>
        <patternFill>
          <bgColor theme="9"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ont>
        <color auto="1"/>
      </font>
      <fill>
        <patternFill>
          <bgColor theme="5" tint="0.59996337778862885"/>
        </patternFill>
      </fill>
    </dxf>
    <dxf>
      <fill>
        <patternFill>
          <bgColor theme="9" tint="0.39994506668294322"/>
        </patternFill>
      </fill>
    </dxf>
    <dxf>
      <fill>
        <patternFill>
          <bgColor theme="9" tint="0.59996337778862885"/>
        </patternFill>
      </fill>
    </dxf>
    <dxf>
      <fill>
        <patternFill>
          <bgColor theme="7" tint="0.59996337778862885"/>
        </patternFill>
      </fill>
    </dxf>
    <dxf>
      <fill>
        <patternFill>
          <bgColor theme="5" tint="0.59996337778862885"/>
        </patternFill>
      </fill>
    </dxf>
    <dxf>
      <fill>
        <patternFill>
          <bgColor theme="9"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ont>
        <color auto="1"/>
      </font>
      <fill>
        <patternFill>
          <bgColor theme="5" tint="0.39994506668294322"/>
        </patternFill>
      </fill>
    </dxf>
    <dxf>
      <fill>
        <patternFill>
          <bgColor theme="9" tint="0.59996337778862885"/>
        </patternFill>
      </fill>
    </dxf>
    <dxf>
      <fill>
        <patternFill>
          <bgColor theme="7" tint="0.39994506668294322"/>
        </patternFill>
      </fill>
    </dxf>
    <dxf>
      <fill>
        <patternFill>
          <bgColor theme="5" tint="0.39994506668294322"/>
        </patternFill>
      </fill>
    </dxf>
    <dxf>
      <fill>
        <patternFill>
          <bgColor theme="9"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7" tint="0.39994506668294322"/>
        </patternFill>
      </fill>
    </dxf>
    <dxf>
      <fill>
        <patternFill>
          <bgColor theme="5" tint="0.39994506668294322"/>
        </patternFill>
      </fill>
    </dxf>
    <dxf>
      <fill>
        <patternFill>
          <bgColor theme="9" tint="0.59996337778862885"/>
        </patternFill>
      </fill>
    </dxf>
    <dxf>
      <font>
        <color auto="1"/>
      </font>
      <fill>
        <patternFill>
          <bgColor theme="5" tint="0.59996337778862885"/>
        </patternFill>
      </fill>
    </dxf>
    <dxf>
      <fill>
        <patternFill>
          <bgColor theme="9" tint="0.39994506668294322"/>
        </patternFill>
      </fill>
    </dxf>
    <dxf>
      <fill>
        <patternFill>
          <bgColor theme="9" tint="0.59996337778862885"/>
        </patternFill>
      </fill>
    </dxf>
    <dxf>
      <fill>
        <patternFill>
          <bgColor theme="7" tint="0.59996337778862885"/>
        </patternFill>
      </fill>
    </dxf>
    <dxf>
      <fill>
        <patternFill>
          <bgColor theme="5" tint="0.59996337778862885"/>
        </patternFill>
      </fill>
    </dxf>
    <dxf>
      <fill>
        <patternFill>
          <bgColor theme="9"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ont>
        <color auto="1"/>
      </font>
      <fill>
        <patternFill>
          <bgColor theme="5" tint="0.59996337778862885"/>
        </patternFill>
      </fill>
    </dxf>
    <dxf>
      <fill>
        <patternFill>
          <bgColor theme="9"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ont>
        <color rgb="FF9C0006"/>
      </font>
      <fill>
        <patternFill>
          <bgColor theme="5" tint="0.39994506668294322"/>
        </patternFill>
      </fill>
    </dxf>
    <dxf>
      <font>
        <color auto="1"/>
      </font>
      <fill>
        <patternFill>
          <bgColor theme="5" tint="0.39994506668294322"/>
        </patternFill>
      </fill>
    </dxf>
    <dxf>
      <fill>
        <patternFill>
          <bgColor theme="9"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39994506668294322"/>
        </patternFill>
      </fill>
    </dxf>
    <dxf>
      <fill>
        <patternFill>
          <bgColor theme="9" tint="0.59996337778862885"/>
        </patternFill>
      </fill>
    </dxf>
    <dxf>
      <fill>
        <patternFill>
          <bgColor theme="7" tint="0.59996337778862885"/>
        </patternFill>
      </fill>
    </dxf>
    <dxf>
      <font>
        <color rgb="FF9C0006"/>
      </font>
      <fill>
        <patternFill>
          <bgColor rgb="FFFFC7CE"/>
        </patternFill>
      </fill>
    </dxf>
    <dxf>
      <fill>
        <patternFill>
          <bgColor theme="5" tint="0.39994506668294322"/>
        </patternFill>
      </fill>
    </dxf>
    <dxf>
      <fill>
        <patternFill>
          <bgColor theme="7" tint="0.59996337778862885"/>
        </patternFill>
      </fill>
    </dxf>
    <dxf>
      <fill>
        <patternFill>
          <bgColor theme="9" tint="0.59996337778862885"/>
        </patternFill>
      </fill>
    </dxf>
    <dxf>
      <fill>
        <patternFill>
          <bgColor theme="9" tint="0.39994506668294322"/>
        </patternFill>
      </fill>
    </dxf>
    <dxf>
      <fill>
        <patternFill>
          <bgColor theme="9"/>
        </patternFill>
      </fill>
    </dxf>
    <dxf>
      <fill>
        <patternFill>
          <bgColor theme="9" tint="0.59996337778862885"/>
        </patternFill>
      </fill>
    </dxf>
    <dxf>
      <fill>
        <patternFill>
          <bgColor theme="7" tint="0.59996337778862885"/>
        </patternFill>
      </fill>
    </dxf>
    <dxf>
      <fill>
        <patternFill>
          <bgColor theme="7" tint="0.39994506668294322"/>
        </patternFill>
      </fill>
    </dxf>
    <dxf>
      <fill>
        <patternFill>
          <bgColor theme="5" tint="0.39994506668294322"/>
        </patternFill>
      </fill>
    </dxf>
    <dxf>
      <font>
        <color auto="1"/>
      </font>
      <fill>
        <patternFill>
          <bgColor theme="5" tint="0.59996337778862885"/>
        </patternFill>
      </fill>
    </dxf>
    <dxf>
      <fill>
        <patternFill>
          <bgColor theme="9" tint="0.39994506668294322"/>
        </patternFill>
      </fill>
    </dxf>
    <dxf>
      <fill>
        <patternFill>
          <bgColor theme="9" tint="0.59996337778862885"/>
        </patternFill>
      </fill>
    </dxf>
    <dxf>
      <fill>
        <patternFill>
          <bgColor theme="7" tint="0.59996337778862885"/>
        </patternFill>
      </fill>
    </dxf>
    <dxf>
      <fill>
        <patternFill>
          <bgColor theme="5" tint="0.59996337778862885"/>
        </patternFill>
      </fill>
    </dxf>
    <dxf>
      <fill>
        <patternFill>
          <bgColor theme="9"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ont>
        <color auto="1"/>
      </font>
      <fill>
        <patternFill>
          <bgColor theme="5" tint="0.59996337778862885"/>
        </patternFill>
      </fill>
    </dxf>
    <dxf>
      <fill>
        <patternFill>
          <bgColor theme="9" tint="0.39994506668294322"/>
        </patternFill>
      </fill>
    </dxf>
    <dxf>
      <fill>
        <patternFill>
          <bgColor theme="9" tint="0.59996337778862885"/>
        </patternFill>
      </fill>
    </dxf>
    <dxf>
      <fill>
        <patternFill>
          <bgColor theme="7" tint="0.59996337778862885"/>
        </patternFill>
      </fill>
    </dxf>
    <dxf>
      <fill>
        <patternFill>
          <bgColor theme="5" tint="0.59996337778862885"/>
        </patternFill>
      </fill>
    </dxf>
    <dxf>
      <fill>
        <patternFill>
          <bgColor theme="9"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fill>
        <patternFill>
          <bgColor theme="9" tint="0.39994506668294322"/>
        </patternFill>
      </fill>
    </dxf>
    <dxf>
      <fill>
        <patternFill>
          <bgColor theme="9" tint="0.59996337778862885"/>
        </patternFill>
      </fill>
    </dxf>
    <dxf>
      <fill>
        <patternFill>
          <bgColor theme="7" tint="0.59996337778862885"/>
        </patternFill>
      </fill>
    </dxf>
    <dxf>
      <fill>
        <patternFill>
          <bgColor theme="5" tint="0.39994506668294322"/>
        </patternFill>
      </fill>
    </dxf>
    <dxf>
      <alignment horizontal="center" vertical="center" textRotation="0" wrapText="0" indent="0" justifyLastLine="0" shrinkToFit="0" readingOrder="0"/>
    </dxf>
    <dxf>
      <alignment horizontal="right" vertical="center" textRotation="0" wrapText="0" indent="0" justifyLastLine="0" shrinkToFit="0" readingOrder="0"/>
    </dxf>
    <dxf>
      <alignment horizontal="left"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'Dept of Education Buildings'!$BE$58:$BE$61</c:f>
              <c:strCache>
                <c:ptCount val="4"/>
                <c:pt idx="0">
                  <c:v>Excellent</c:v>
                </c:pt>
                <c:pt idx="1">
                  <c:v>Good</c:v>
                </c:pt>
                <c:pt idx="2">
                  <c:v>Fair </c:v>
                </c:pt>
                <c:pt idx="3">
                  <c:v>Poor</c:v>
                </c:pt>
              </c:strCache>
            </c:strRef>
          </c:cat>
          <c:val>
            <c:numRef>
              <c:f>'Dept of Education Buildings'!$BF$58:$BF$61</c:f>
              <c:numCache>
                <c:formatCode>General</c:formatCode>
                <c:ptCount val="4"/>
                <c:pt idx="0">
                  <c:v>2</c:v>
                </c:pt>
                <c:pt idx="1">
                  <c:v>7</c:v>
                </c:pt>
                <c:pt idx="2">
                  <c:v>30</c:v>
                </c:pt>
                <c:pt idx="3">
                  <c:v>2</c:v>
                </c:pt>
              </c:numCache>
            </c:numRef>
          </c:val>
          <c:extLst>
            <c:ext xmlns:c16="http://schemas.microsoft.com/office/drawing/2014/chart" uri="{C3380CC4-5D6E-409C-BE32-E72D297353CC}">
              <c16:uniqueId val="{00000000-0DB6-4DF9-AABA-B20B5D998166}"/>
            </c:ext>
          </c:extLst>
        </c:ser>
        <c:dLbls>
          <c:showLegendKey val="0"/>
          <c:showVal val="0"/>
          <c:showCatName val="0"/>
          <c:showSerName val="0"/>
          <c:showPercent val="0"/>
          <c:showBubbleSize val="0"/>
        </c:dLbls>
        <c:gapWidth val="219"/>
        <c:shape val="box"/>
        <c:axId val="587778864"/>
        <c:axId val="587782144"/>
        <c:axId val="0"/>
      </c:bar3DChart>
      <c:catAx>
        <c:axId val="587778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7782144"/>
        <c:crosses val="autoZero"/>
        <c:auto val="1"/>
        <c:lblAlgn val="ctr"/>
        <c:lblOffset val="100"/>
        <c:noMultiLvlLbl val="0"/>
      </c:catAx>
      <c:valAx>
        <c:axId val="5877821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77788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0"/>
            <c:invertIfNegative val="0"/>
            <c:bubble3D val="0"/>
            <c:spPr>
              <a:solidFill>
                <a:srgbClr val="00B0F0"/>
              </a:solidFill>
              <a:ln>
                <a:noFill/>
              </a:ln>
              <a:effectLst/>
              <a:sp3d/>
            </c:spPr>
            <c:extLst>
              <c:ext xmlns:c16="http://schemas.microsoft.com/office/drawing/2014/chart" uri="{C3380CC4-5D6E-409C-BE32-E72D297353CC}">
                <c16:uniqueId val="{00000001-B620-479A-875F-A7D0CD981E48}"/>
              </c:ext>
            </c:extLst>
          </c:dPt>
          <c:dPt>
            <c:idx val="1"/>
            <c:invertIfNegative val="0"/>
            <c:bubble3D val="0"/>
            <c:spPr>
              <a:solidFill>
                <a:srgbClr val="92D050"/>
              </a:solidFill>
              <a:ln>
                <a:solidFill>
                  <a:srgbClr val="92D050"/>
                </a:solidFill>
              </a:ln>
              <a:effectLst/>
              <a:sp3d>
                <a:contourClr>
                  <a:srgbClr val="92D050"/>
                </a:contourClr>
              </a:sp3d>
            </c:spPr>
            <c:extLst>
              <c:ext xmlns:c16="http://schemas.microsoft.com/office/drawing/2014/chart" uri="{C3380CC4-5D6E-409C-BE32-E72D297353CC}">
                <c16:uniqueId val="{00000002-B620-479A-875F-A7D0CD981E48}"/>
              </c:ext>
            </c:extLst>
          </c:dPt>
          <c:dPt>
            <c:idx val="2"/>
            <c:invertIfNegative val="0"/>
            <c:bubble3D val="0"/>
            <c:spPr>
              <a:solidFill>
                <a:srgbClr val="FFFF00"/>
              </a:solidFill>
              <a:ln>
                <a:noFill/>
              </a:ln>
              <a:effectLst/>
              <a:sp3d/>
            </c:spPr>
            <c:extLst>
              <c:ext xmlns:c16="http://schemas.microsoft.com/office/drawing/2014/chart" uri="{C3380CC4-5D6E-409C-BE32-E72D297353CC}">
                <c16:uniqueId val="{00000003-B620-479A-875F-A7D0CD981E48}"/>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4-B620-479A-875F-A7D0CD981E48}"/>
              </c:ext>
            </c:extLst>
          </c:dPt>
          <c:dLbls>
            <c:dLbl>
              <c:idx val="0"/>
              <c:layout>
                <c:manualLayout>
                  <c:x val="2.7777777777777267E-3"/>
                  <c:y val="-3.7037037037037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20-479A-875F-A7D0CD981E48}"/>
                </c:ext>
              </c:extLst>
            </c:dLbl>
            <c:dLbl>
              <c:idx val="1"/>
              <c:layout>
                <c:manualLayout>
                  <c:x val="5.5555555555555558E-3"/>
                  <c:y val="-2.3148148148148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20-479A-875F-A7D0CD981E48}"/>
                </c:ext>
              </c:extLst>
            </c:dLbl>
            <c:dLbl>
              <c:idx val="2"/>
              <c:layout>
                <c:manualLayout>
                  <c:x val="1.3888888888888888E-2"/>
                  <c:y val="-2.77777777777778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620-479A-875F-A7D0CD981E48}"/>
                </c:ext>
              </c:extLst>
            </c:dLbl>
            <c:dLbl>
              <c:idx val="3"/>
              <c:layout>
                <c:manualLayout>
                  <c:x val="1.3888888888888888E-2"/>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20-479A-875F-A7D0CD981E4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'Health Buildings'!$BG$22:$BG$25</c:f>
              <c:numCache>
                <c:formatCode>General</c:formatCode>
                <c:ptCount val="4"/>
              </c:numCache>
            </c:numRef>
          </c:val>
          <c:extLst>
            <c:ext xmlns:c15="http://schemas.microsoft.com/office/drawing/2012/chart" uri="{02D57815-91ED-43cb-92C2-25804820EDAC}">
              <c15:filteredCategoryTitle>
                <c15:cat>
                  <c:numRef>
                    <c:extLst>
                      <c:ext uri="{02D57815-91ED-43cb-92C2-25804820EDAC}">
                        <c15:formulaRef>
                          <c15:sqref>'Health Buildings'!$BF$22:$BF$25</c15:sqref>
                        </c15:formulaRef>
                      </c:ext>
                    </c:extLst>
                    <c:numCache>
                      <c:formatCode>General</c:formatCode>
                      <c:ptCount val="4"/>
                    </c:numCache>
                  </c:numRef>
                </c15:cat>
              </c15:filteredCategoryTitle>
            </c:ext>
            <c:ext xmlns:c16="http://schemas.microsoft.com/office/drawing/2014/chart" uri="{C3380CC4-5D6E-409C-BE32-E72D297353CC}">
              <c16:uniqueId val="{00000000-B620-479A-875F-A7D0CD981E48}"/>
            </c:ext>
          </c:extLst>
        </c:ser>
        <c:dLbls>
          <c:showLegendKey val="0"/>
          <c:showVal val="0"/>
          <c:showCatName val="0"/>
          <c:showSerName val="0"/>
          <c:showPercent val="0"/>
          <c:showBubbleSize val="0"/>
        </c:dLbls>
        <c:gapWidth val="150"/>
        <c:shape val="box"/>
        <c:axId val="517707472"/>
        <c:axId val="517707800"/>
        <c:axId val="0"/>
      </c:bar3DChart>
      <c:catAx>
        <c:axId val="51770747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7707800"/>
        <c:crosses val="autoZero"/>
        <c:auto val="1"/>
        <c:lblAlgn val="ctr"/>
        <c:lblOffset val="100"/>
        <c:noMultiLvlLbl val="0"/>
      </c:catAx>
      <c:valAx>
        <c:axId val="517707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77074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0"/>
            <c:invertIfNegative val="0"/>
            <c:bubble3D val="0"/>
            <c:spPr>
              <a:solidFill>
                <a:srgbClr val="00B0F0"/>
              </a:solidFill>
              <a:ln>
                <a:noFill/>
              </a:ln>
              <a:effectLst/>
              <a:sp3d/>
            </c:spPr>
            <c:extLst>
              <c:ext xmlns:c16="http://schemas.microsoft.com/office/drawing/2014/chart" uri="{C3380CC4-5D6E-409C-BE32-E72D297353CC}">
                <c16:uniqueId val="{00000001-14A7-401A-91C5-2AF1B4D910E0}"/>
              </c:ext>
            </c:extLst>
          </c:dPt>
          <c:dPt>
            <c:idx val="1"/>
            <c:invertIfNegative val="0"/>
            <c:bubble3D val="0"/>
            <c:spPr>
              <a:solidFill>
                <a:srgbClr val="92D050"/>
              </a:solidFill>
              <a:ln>
                <a:noFill/>
              </a:ln>
              <a:effectLst/>
              <a:sp3d/>
            </c:spPr>
            <c:extLst>
              <c:ext xmlns:c16="http://schemas.microsoft.com/office/drawing/2014/chart" uri="{C3380CC4-5D6E-409C-BE32-E72D297353CC}">
                <c16:uniqueId val="{00000002-14A7-401A-91C5-2AF1B4D910E0}"/>
              </c:ext>
            </c:extLst>
          </c:dPt>
          <c:dPt>
            <c:idx val="2"/>
            <c:invertIfNegative val="0"/>
            <c:bubble3D val="0"/>
            <c:spPr>
              <a:solidFill>
                <a:srgbClr val="FFFF00"/>
              </a:solidFill>
              <a:ln>
                <a:noFill/>
              </a:ln>
              <a:effectLst/>
              <a:sp3d/>
            </c:spPr>
            <c:extLst>
              <c:ext xmlns:c16="http://schemas.microsoft.com/office/drawing/2014/chart" uri="{C3380CC4-5D6E-409C-BE32-E72D297353CC}">
                <c16:uniqueId val="{00000003-14A7-401A-91C5-2AF1B4D910E0}"/>
              </c:ext>
            </c:extLst>
          </c:dPt>
          <c:dPt>
            <c:idx val="3"/>
            <c:invertIfNegative val="0"/>
            <c:bubble3D val="0"/>
            <c:spPr>
              <a:solidFill>
                <a:srgbClr val="FF0000"/>
              </a:solidFill>
              <a:ln>
                <a:noFill/>
              </a:ln>
              <a:effectLst/>
              <a:sp3d/>
            </c:spPr>
            <c:extLst>
              <c:ext xmlns:c16="http://schemas.microsoft.com/office/drawing/2014/chart" uri="{C3380CC4-5D6E-409C-BE32-E72D297353CC}">
                <c16:uniqueId val="{00000004-14A7-401A-91C5-2AF1B4D910E0}"/>
              </c:ext>
            </c:extLst>
          </c:dPt>
          <c:dLbls>
            <c:dLbl>
              <c:idx val="0"/>
              <c:layout>
                <c:manualLayout>
                  <c:x val="2.7777777777777523E-3"/>
                  <c:y val="-3.70370370370372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4A7-401A-91C5-2AF1B4D910E0}"/>
                </c:ext>
              </c:extLst>
            </c:dLbl>
            <c:dLbl>
              <c:idx val="1"/>
              <c:layout>
                <c:manualLayout>
                  <c:x val="5.5555555555555046E-3"/>
                  <c:y val="-3.24074074074075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4A7-401A-91C5-2AF1B4D910E0}"/>
                </c:ext>
              </c:extLst>
            </c:dLbl>
            <c:dLbl>
              <c:idx val="2"/>
              <c:layout>
                <c:manualLayout>
                  <c:x val="0"/>
                  <c:y val="-3.240740740740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4A7-401A-91C5-2AF1B4D910E0}"/>
                </c:ext>
              </c:extLst>
            </c:dLbl>
            <c:dLbl>
              <c:idx val="3"/>
              <c:layout>
                <c:manualLayout>
                  <c:x val="8.3333333333333332E-3"/>
                  <c:y val="-3.24074074074074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A7-401A-91C5-2AF1B4D910E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'Sealed Roads'!$AP$44:$AP$47</c:f>
              <c:numCache>
                <c:formatCode>General</c:formatCode>
                <c:ptCount val="4"/>
                <c:pt idx="0">
                  <c:v>0</c:v>
                </c:pt>
                <c:pt idx="1">
                  <c:v>0</c:v>
                </c:pt>
                <c:pt idx="2">
                  <c:v>21</c:v>
                </c:pt>
                <c:pt idx="3">
                  <c:v>4</c:v>
                </c:pt>
              </c:numCache>
            </c:numRef>
          </c:val>
          <c:extLst>
            <c:ext xmlns:c15="http://schemas.microsoft.com/office/drawing/2012/chart" uri="{02D57815-91ED-43cb-92C2-25804820EDAC}">
              <c15:filteredCategoryTitle>
                <c15:cat>
                  <c:multiLvlStrRef>
                    <c:extLst>
                      <c:ext uri="{02D57815-91ED-43cb-92C2-25804820EDAC}">
                        <c15:formulaRef>
                          <c15:sqref>'Sealed Roads'!#REF!</c15:sqref>
                        </c15:formulaRef>
                      </c:ext>
                    </c:extLst>
                  </c:multiLvlStrRef>
                </c15:cat>
              </c15:filteredCategoryTitle>
            </c:ext>
            <c:ext xmlns:c16="http://schemas.microsoft.com/office/drawing/2014/chart" uri="{C3380CC4-5D6E-409C-BE32-E72D297353CC}">
              <c16:uniqueId val="{00000000-14A7-401A-91C5-2AF1B4D910E0}"/>
            </c:ext>
          </c:extLst>
        </c:ser>
        <c:dLbls>
          <c:showLegendKey val="0"/>
          <c:showVal val="0"/>
          <c:showCatName val="0"/>
          <c:showSerName val="0"/>
          <c:showPercent val="0"/>
          <c:showBubbleSize val="0"/>
        </c:dLbls>
        <c:gapWidth val="150"/>
        <c:shape val="box"/>
        <c:axId val="584542288"/>
        <c:axId val="584539008"/>
        <c:axId val="0"/>
      </c:bar3DChart>
      <c:catAx>
        <c:axId val="58454228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4539008"/>
        <c:crosses val="autoZero"/>
        <c:auto val="1"/>
        <c:lblAlgn val="ctr"/>
        <c:lblOffset val="100"/>
        <c:noMultiLvlLbl val="0"/>
      </c:catAx>
      <c:valAx>
        <c:axId val="5845390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45422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w="25400">
          <a:noFill/>
        </a:ln>
        <a:effectLst/>
        <a:sp3d/>
      </c:spPr>
    </c:sideWall>
    <c:backWall>
      <c:thickness val="0"/>
      <c:spPr>
        <a:noFill/>
        <a:ln w="25400">
          <a:noFill/>
        </a:ln>
        <a:effectLst/>
        <a:sp3d/>
      </c:spPr>
    </c:backWall>
    <c:plotArea>
      <c:layout/>
      <c:bar3DChart>
        <c:barDir val="col"/>
        <c:grouping val="clustered"/>
        <c:varyColors val="0"/>
        <c:ser>
          <c:idx val="0"/>
          <c:order val="0"/>
          <c:spPr>
            <a:solidFill>
              <a:schemeClr val="accent1"/>
            </a:solidFill>
            <a:ln>
              <a:noFill/>
            </a:ln>
            <a:effectLst/>
            <a:sp3d/>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8-DCB5-45F7-B4E6-E9A09B6F0EC7}"/>
            </c:ext>
          </c:extLst>
        </c:ser>
        <c:dLbls>
          <c:showLegendKey val="0"/>
          <c:showVal val="0"/>
          <c:showCatName val="0"/>
          <c:showSerName val="0"/>
          <c:showPercent val="0"/>
          <c:showBubbleSize val="0"/>
        </c:dLbls>
        <c:gapWidth val="150"/>
        <c:shape val="box"/>
        <c:axId val="612099064"/>
        <c:axId val="612099392"/>
        <c:axId val="0"/>
      </c:bar3DChart>
      <c:catAx>
        <c:axId val="61209906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2099392"/>
        <c:crosses val="autoZero"/>
        <c:auto val="1"/>
        <c:lblAlgn val="ctr"/>
        <c:lblOffset val="100"/>
        <c:noMultiLvlLbl val="0"/>
      </c:catAx>
      <c:valAx>
        <c:axId val="6120993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20990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47</xdr:col>
      <xdr:colOff>117929</xdr:colOff>
      <xdr:row>54</xdr:row>
      <xdr:rowOff>34470</xdr:rowOff>
    </xdr:from>
    <xdr:to>
      <xdr:col>55</xdr:col>
      <xdr:colOff>585108</xdr:colOff>
      <xdr:row>75</xdr:row>
      <xdr:rowOff>72570</xdr:rowOff>
    </xdr:to>
    <xdr:graphicFrame macro="">
      <xdr:nvGraphicFramePr>
        <xdr:cNvPr id="2" name="Chart 1">
          <a:extLst>
            <a:ext uri="{FF2B5EF4-FFF2-40B4-BE49-F238E27FC236}">
              <a16:creationId xmlns:a16="http://schemas.microsoft.com/office/drawing/2014/main" id="{0443BB14-6502-4218-9811-1A4A701A34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54</xdr:col>
      <xdr:colOff>231588</xdr:colOff>
      <xdr:row>26</xdr:row>
      <xdr:rowOff>174811</xdr:rowOff>
    </xdr:from>
    <xdr:to>
      <xdr:col>60</xdr:col>
      <xdr:colOff>425823</xdr:colOff>
      <xdr:row>44</xdr:row>
      <xdr:rowOff>149412</xdr:rowOff>
    </xdr:to>
    <xdr:graphicFrame macro="">
      <xdr:nvGraphicFramePr>
        <xdr:cNvPr id="2" name="Chart 1">
          <a:extLst>
            <a:ext uri="{FF2B5EF4-FFF2-40B4-BE49-F238E27FC236}">
              <a16:creationId xmlns:a16="http://schemas.microsoft.com/office/drawing/2014/main" id="{A382B4CD-1400-4879-B557-BB134C7B12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38</xdr:col>
      <xdr:colOff>926354</xdr:colOff>
      <xdr:row>49</xdr:row>
      <xdr:rowOff>100106</xdr:rowOff>
    </xdr:from>
    <xdr:to>
      <xdr:col>44</xdr:col>
      <xdr:colOff>44824</xdr:colOff>
      <xdr:row>64</xdr:row>
      <xdr:rowOff>41836</xdr:rowOff>
    </xdr:to>
    <xdr:graphicFrame macro="">
      <xdr:nvGraphicFramePr>
        <xdr:cNvPr id="2" name="Chart 1">
          <a:extLst>
            <a:ext uri="{FF2B5EF4-FFF2-40B4-BE49-F238E27FC236}">
              <a16:creationId xmlns:a16="http://schemas.microsoft.com/office/drawing/2014/main" id="{5633729C-6EAC-4E28-BF9C-A6BEBB4168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27</xdr:col>
      <xdr:colOff>522111</xdr:colOff>
      <xdr:row>49</xdr:row>
      <xdr:rowOff>7761</xdr:rowOff>
    </xdr:from>
    <xdr:to>
      <xdr:col>31</xdr:col>
      <xdr:colOff>719667</xdr:colOff>
      <xdr:row>63</xdr:row>
      <xdr:rowOff>182739</xdr:rowOff>
    </xdr:to>
    <xdr:graphicFrame macro="">
      <xdr:nvGraphicFramePr>
        <xdr:cNvPr id="2" name="Chart 1">
          <a:extLst>
            <a:ext uri="{FF2B5EF4-FFF2-40B4-BE49-F238E27FC236}">
              <a16:creationId xmlns:a16="http://schemas.microsoft.com/office/drawing/2014/main" id="{68D9E75E-B8D8-4CB8-A921-3F2FC92758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F8B2A61-5C26-42CA-B429-3FE145CBF99B}" name="Table5" displayName="Table5" ref="B44:F57" totalsRowShown="0" headerRowDxfId="275" dataDxfId="274">
  <tableColumns count="5">
    <tableColumn id="1" xr3:uid="{8274DF89-BF20-4370-AB13-0405757D109F}" name="Column Number" dataDxfId="273"/>
    <tableColumn id="3" xr3:uid="{D6B7E3E4-875E-43CC-82A8-1F2BDBC02895}" name="Column Name" dataDxfId="272"/>
    <tableColumn id="4" xr3:uid="{69B00DD7-2016-4F79-8DA5-B72A1AF60E30}" name="Data Type" dataDxfId="271"/>
    <tableColumn id="5" xr3:uid="{28811487-4518-4165-BB6B-3884B654A1EE}" name="Notes" dataDxfId="270"/>
    <tableColumn id="2" xr3:uid="{C2928BBF-9A06-4905-992A-CF5A70497793}" name="Value" dataDxfId="269"/>
  </tableColumns>
  <tableStyleInfo name="TableStyleMedium1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23C18-2AE9-46DE-8A9C-2585BEABEEAF}">
  <dimension ref="A1:K173"/>
  <sheetViews>
    <sheetView topLeftCell="C149" zoomScaleNormal="100" workbookViewId="0">
      <selection activeCell="C158" sqref="C158:C161"/>
    </sheetView>
  </sheetViews>
  <sheetFormatPr defaultColWidth="8.81640625" defaultRowHeight="14" x14ac:dyDescent="0.3"/>
  <cols>
    <col min="1" max="1" width="8.81640625" style="91"/>
    <col min="2" max="2" width="28.453125" style="91" customWidth="1"/>
    <col min="3" max="3" width="14" style="91" customWidth="1"/>
    <col min="4" max="4" width="34" style="93" customWidth="1"/>
    <col min="5" max="5" width="22.453125" style="91" customWidth="1"/>
    <col min="6" max="6" width="13.36328125" style="91" customWidth="1"/>
    <col min="7" max="7" width="17.54296875" style="91" customWidth="1"/>
    <col min="8" max="8" width="27.36328125" style="93" customWidth="1"/>
    <col min="9" max="9" width="23.81640625" style="91" customWidth="1"/>
    <col min="10" max="10" width="37.453125" style="91" customWidth="1"/>
    <col min="11" max="11" width="28.1796875" style="91" customWidth="1"/>
    <col min="12" max="16384" width="8.81640625" style="91"/>
  </cols>
  <sheetData>
    <row r="1" spans="2:11" ht="14.5" thickBot="1" x14ac:dyDescent="0.35"/>
    <row r="2" spans="2:11" ht="15" customHeight="1" thickTop="1" x14ac:dyDescent="0.3">
      <c r="B2" s="576" t="s">
        <v>316</v>
      </c>
      <c r="C2" s="576" t="s">
        <v>70</v>
      </c>
      <c r="D2" s="576" t="s">
        <v>317</v>
      </c>
      <c r="E2" s="576" t="s">
        <v>318</v>
      </c>
      <c r="F2" s="574" t="s">
        <v>7</v>
      </c>
      <c r="G2" s="221" t="s">
        <v>0</v>
      </c>
      <c r="H2" s="578" t="s">
        <v>319</v>
      </c>
      <c r="I2" s="580" t="s">
        <v>320</v>
      </c>
      <c r="J2" s="574" t="s">
        <v>4</v>
      </c>
      <c r="K2" s="574" t="s">
        <v>69</v>
      </c>
    </row>
    <row r="3" spans="2:11" ht="56.5" thickBot="1" x14ac:dyDescent="0.35">
      <c r="B3" s="577"/>
      <c r="C3" s="577"/>
      <c r="D3" s="577"/>
      <c r="E3" s="577"/>
      <c r="F3" s="575"/>
      <c r="G3" s="222" t="s">
        <v>81</v>
      </c>
      <c r="H3" s="579"/>
      <c r="I3" s="581"/>
      <c r="J3" s="575"/>
      <c r="K3" s="575"/>
    </row>
    <row r="4" spans="2:11" ht="25" customHeight="1" thickTop="1" x14ac:dyDescent="0.3">
      <c r="B4" s="555" t="s">
        <v>1246</v>
      </c>
      <c r="C4" s="555" t="s">
        <v>1242</v>
      </c>
      <c r="D4" s="223" t="s">
        <v>92</v>
      </c>
      <c r="E4" s="555" t="s">
        <v>8</v>
      </c>
      <c r="F4" s="555" t="s">
        <v>83</v>
      </c>
      <c r="G4" s="552" t="s">
        <v>1790</v>
      </c>
      <c r="H4" s="225" t="s">
        <v>271</v>
      </c>
      <c r="I4" s="226" t="s">
        <v>105</v>
      </c>
      <c r="J4" s="227" t="s">
        <v>114</v>
      </c>
      <c r="K4" s="228" t="s">
        <v>102</v>
      </c>
    </row>
    <row r="5" spans="2:11" ht="25" customHeight="1" x14ac:dyDescent="0.3">
      <c r="B5" s="554"/>
      <c r="C5" s="554"/>
      <c r="D5" s="229" t="s">
        <v>93</v>
      </c>
      <c r="E5" s="554"/>
      <c r="F5" s="554"/>
      <c r="G5" s="553"/>
      <c r="H5" s="231" t="s">
        <v>943</v>
      </c>
      <c r="I5" s="232" t="s">
        <v>106</v>
      </c>
      <c r="J5" s="233" t="s">
        <v>286</v>
      </c>
      <c r="K5" s="234" t="s">
        <v>104</v>
      </c>
    </row>
    <row r="6" spans="2:11" ht="25" customHeight="1" x14ac:dyDescent="0.3">
      <c r="B6" s="554"/>
      <c r="C6" s="554"/>
      <c r="D6" s="229" t="s">
        <v>94</v>
      </c>
      <c r="E6" s="554"/>
      <c r="F6" s="554"/>
      <c r="G6" s="556"/>
      <c r="H6" s="235" t="s">
        <v>944</v>
      </c>
      <c r="I6" s="232" t="s">
        <v>107</v>
      </c>
      <c r="J6" s="236" t="s">
        <v>1041</v>
      </c>
      <c r="K6" s="234" t="s">
        <v>1018</v>
      </c>
    </row>
    <row r="7" spans="2:11" ht="25" customHeight="1" x14ac:dyDescent="0.3">
      <c r="B7" s="557" t="s">
        <v>1253</v>
      </c>
      <c r="C7" s="554" t="s">
        <v>1254</v>
      </c>
      <c r="D7" s="229" t="s">
        <v>97</v>
      </c>
      <c r="E7" s="554" t="s">
        <v>8</v>
      </c>
      <c r="F7" s="554" t="s">
        <v>83</v>
      </c>
      <c r="G7" s="554" t="s">
        <v>1791</v>
      </c>
      <c r="H7" s="235" t="s">
        <v>274</v>
      </c>
      <c r="I7" s="232" t="s">
        <v>108</v>
      </c>
      <c r="J7" s="236" t="s">
        <v>1042</v>
      </c>
      <c r="K7" s="234" t="s">
        <v>117</v>
      </c>
    </row>
    <row r="8" spans="2:11" ht="25" customHeight="1" x14ac:dyDescent="0.3">
      <c r="B8" s="557"/>
      <c r="C8" s="554"/>
      <c r="D8" s="229" t="s">
        <v>98</v>
      </c>
      <c r="E8" s="554"/>
      <c r="F8" s="554"/>
      <c r="G8" s="554"/>
      <c r="H8" s="235" t="s">
        <v>945</v>
      </c>
      <c r="I8" s="232" t="s">
        <v>109</v>
      </c>
      <c r="J8" s="236" t="s">
        <v>1043</v>
      </c>
      <c r="K8" s="234"/>
    </row>
    <row r="9" spans="2:11" ht="25" customHeight="1" x14ac:dyDescent="0.3">
      <c r="B9" s="554" t="s">
        <v>1248</v>
      </c>
      <c r="C9" s="554" t="s">
        <v>459</v>
      </c>
      <c r="D9" s="229" t="s">
        <v>76</v>
      </c>
      <c r="E9" s="557" t="s">
        <v>8</v>
      </c>
      <c r="F9" s="554" t="s">
        <v>83</v>
      </c>
      <c r="G9" s="554" t="s">
        <v>1792</v>
      </c>
      <c r="H9" s="235" t="s">
        <v>276</v>
      </c>
      <c r="I9" s="232" t="s">
        <v>120</v>
      </c>
      <c r="J9" s="236" t="s">
        <v>1044</v>
      </c>
      <c r="K9" s="234"/>
    </row>
    <row r="10" spans="2:11" ht="25" customHeight="1" x14ac:dyDescent="0.3">
      <c r="B10" s="554"/>
      <c r="C10" s="554"/>
      <c r="D10" s="237" t="s">
        <v>321</v>
      </c>
      <c r="E10" s="557"/>
      <c r="F10" s="554"/>
      <c r="G10" s="554"/>
      <c r="H10" s="235" t="s">
        <v>946</v>
      </c>
      <c r="I10" s="238" t="s">
        <v>111</v>
      </c>
      <c r="J10" s="236" t="s">
        <v>1045</v>
      </c>
      <c r="K10" s="234"/>
    </row>
    <row r="11" spans="2:11" ht="25" customHeight="1" x14ac:dyDescent="0.3">
      <c r="B11" s="554"/>
      <c r="C11" s="554"/>
      <c r="D11" s="229" t="s">
        <v>74</v>
      </c>
      <c r="E11" s="557"/>
      <c r="F11" s="554"/>
      <c r="G11" s="554"/>
      <c r="H11" s="235" t="s">
        <v>278</v>
      </c>
      <c r="I11" s="238" t="s">
        <v>112</v>
      </c>
      <c r="J11" s="239" t="s">
        <v>571</v>
      </c>
      <c r="K11" s="234"/>
    </row>
    <row r="12" spans="2:11" ht="25" customHeight="1" x14ac:dyDescent="0.3">
      <c r="B12" s="554"/>
      <c r="C12" s="554"/>
      <c r="D12" s="229" t="s">
        <v>75</v>
      </c>
      <c r="E12" s="557"/>
      <c r="F12" s="554"/>
      <c r="G12" s="554"/>
      <c r="H12" s="235" t="s">
        <v>947</v>
      </c>
      <c r="I12" s="238" t="s">
        <v>113</v>
      </c>
      <c r="J12" s="236"/>
      <c r="K12" s="234"/>
    </row>
    <row r="13" spans="2:11" ht="25" customHeight="1" x14ac:dyDescent="0.3">
      <c r="B13" s="554"/>
      <c r="C13" s="554"/>
      <c r="D13" s="229" t="s">
        <v>77</v>
      </c>
      <c r="E13" s="557"/>
      <c r="F13" s="554"/>
      <c r="G13" s="554"/>
      <c r="H13" s="235" t="s">
        <v>280</v>
      </c>
      <c r="I13" s="238" t="s">
        <v>110</v>
      </c>
      <c r="J13" s="240" t="s">
        <v>115</v>
      </c>
      <c r="K13" s="234"/>
    </row>
    <row r="14" spans="2:11" ht="25" customHeight="1" x14ac:dyDescent="0.3">
      <c r="B14" s="554" t="s">
        <v>1249</v>
      </c>
      <c r="C14" s="554" t="s">
        <v>1250</v>
      </c>
      <c r="D14" s="229" t="s">
        <v>78</v>
      </c>
      <c r="E14" s="554" t="s">
        <v>8</v>
      </c>
      <c r="F14" s="554" t="s">
        <v>83</v>
      </c>
      <c r="G14" s="554" t="s">
        <v>1793</v>
      </c>
      <c r="H14" s="235" t="s">
        <v>281</v>
      </c>
      <c r="I14" s="234"/>
      <c r="J14" s="239" t="s">
        <v>1046</v>
      </c>
      <c r="K14" s="234"/>
    </row>
    <row r="15" spans="2:11" ht="25" customHeight="1" x14ac:dyDescent="0.3">
      <c r="B15" s="554"/>
      <c r="C15" s="554"/>
      <c r="D15" s="229" t="s">
        <v>82</v>
      </c>
      <c r="E15" s="554"/>
      <c r="F15" s="554"/>
      <c r="G15" s="554"/>
      <c r="H15" s="235" t="s">
        <v>282</v>
      </c>
      <c r="I15" s="234"/>
      <c r="J15" s="239" t="s">
        <v>1047</v>
      </c>
      <c r="K15" s="234"/>
    </row>
    <row r="16" spans="2:11" ht="25" customHeight="1" x14ac:dyDescent="0.3">
      <c r="B16" s="554"/>
      <c r="C16" s="554"/>
      <c r="D16" s="229" t="s">
        <v>323</v>
      </c>
      <c r="E16" s="554"/>
      <c r="F16" s="554"/>
      <c r="G16" s="554"/>
      <c r="H16" s="241" t="s">
        <v>949</v>
      </c>
      <c r="I16" s="234"/>
      <c r="J16" s="239" t="s">
        <v>1048</v>
      </c>
      <c r="K16" s="234"/>
    </row>
    <row r="17" spans="2:11" x14ac:dyDescent="0.3">
      <c r="B17" s="557" t="s">
        <v>1703</v>
      </c>
      <c r="C17" s="554" t="s">
        <v>1704</v>
      </c>
      <c r="D17" s="558" t="s">
        <v>97</v>
      </c>
      <c r="E17" s="554" t="s">
        <v>8</v>
      </c>
      <c r="F17" s="554" t="s">
        <v>83</v>
      </c>
      <c r="G17" s="554" t="s">
        <v>1794</v>
      </c>
      <c r="H17" s="235" t="s">
        <v>68</v>
      </c>
      <c r="I17" s="234"/>
      <c r="J17" s="239" t="s">
        <v>1049</v>
      </c>
      <c r="K17" s="234"/>
    </row>
    <row r="18" spans="2:11" x14ac:dyDescent="0.3">
      <c r="B18" s="557"/>
      <c r="C18" s="554"/>
      <c r="D18" s="556"/>
      <c r="E18" s="554"/>
      <c r="F18" s="554"/>
      <c r="G18" s="554"/>
      <c r="H18" s="235" t="s">
        <v>283</v>
      </c>
      <c r="I18" s="234"/>
      <c r="J18" s="239" t="s">
        <v>1050</v>
      </c>
      <c r="K18" s="234"/>
    </row>
    <row r="19" spans="2:11" x14ac:dyDescent="0.3">
      <c r="B19" s="554" t="s">
        <v>1255</v>
      </c>
      <c r="C19" s="554" t="s">
        <v>1256</v>
      </c>
      <c r="D19" s="558" t="s">
        <v>97</v>
      </c>
      <c r="E19" s="554" t="s">
        <v>8</v>
      </c>
      <c r="F19" s="554" t="s">
        <v>83</v>
      </c>
      <c r="G19" s="554" t="s">
        <v>1795</v>
      </c>
      <c r="H19" s="235" t="s">
        <v>948</v>
      </c>
      <c r="I19" s="234"/>
      <c r="J19" s="239" t="s">
        <v>1051</v>
      </c>
      <c r="K19" s="243"/>
    </row>
    <row r="20" spans="2:11" x14ac:dyDescent="0.3">
      <c r="B20" s="554"/>
      <c r="C20" s="554"/>
      <c r="D20" s="556"/>
      <c r="E20" s="554"/>
      <c r="F20" s="554"/>
      <c r="G20" s="554"/>
      <c r="I20" s="243"/>
      <c r="J20" s="239" t="s">
        <v>1052</v>
      </c>
      <c r="K20" s="243"/>
    </row>
    <row r="21" spans="2:11" ht="25" customHeight="1" x14ac:dyDescent="0.3">
      <c r="B21" s="237" t="s">
        <v>1706</v>
      </c>
      <c r="C21" s="237" t="s">
        <v>1245</v>
      </c>
      <c r="D21" s="237" t="s">
        <v>80</v>
      </c>
      <c r="E21" s="237" t="s">
        <v>8</v>
      </c>
      <c r="F21" s="229" t="s">
        <v>83</v>
      </c>
      <c r="G21" s="237" t="s">
        <v>1796</v>
      </c>
      <c r="I21" s="243"/>
      <c r="J21" s="239" t="s">
        <v>571</v>
      </c>
      <c r="K21" s="243"/>
    </row>
    <row r="22" spans="2:11" ht="25" customHeight="1" x14ac:dyDescent="0.3">
      <c r="B22" s="554" t="s">
        <v>67</v>
      </c>
      <c r="C22" s="554" t="s">
        <v>468</v>
      </c>
      <c r="D22" s="244" t="s">
        <v>97</v>
      </c>
      <c r="E22" s="554" t="s">
        <v>8</v>
      </c>
      <c r="F22" s="554" t="s">
        <v>83</v>
      </c>
      <c r="G22" s="554" t="s">
        <v>1797</v>
      </c>
      <c r="I22" s="243"/>
      <c r="K22" s="243"/>
    </row>
    <row r="23" spans="2:11" ht="25" customHeight="1" x14ac:dyDescent="0.3">
      <c r="B23" s="554"/>
      <c r="C23" s="554"/>
      <c r="D23" s="244" t="s">
        <v>96</v>
      </c>
      <c r="E23" s="554"/>
      <c r="F23" s="554"/>
      <c r="G23" s="554"/>
      <c r="I23" s="243"/>
      <c r="J23" s="240" t="s">
        <v>116</v>
      </c>
      <c r="K23" s="243"/>
    </row>
    <row r="24" spans="2:11" ht="25" customHeight="1" x14ac:dyDescent="0.3">
      <c r="B24" s="554"/>
      <c r="C24" s="554"/>
      <c r="D24" s="244" t="s">
        <v>322</v>
      </c>
      <c r="E24" s="554"/>
      <c r="F24" s="554"/>
      <c r="G24" s="554"/>
      <c r="I24" s="243"/>
      <c r="J24" s="239" t="s">
        <v>1053</v>
      </c>
      <c r="K24" s="243"/>
    </row>
    <row r="25" spans="2:11" ht="25" customHeight="1" x14ac:dyDescent="0.3">
      <c r="B25" s="554"/>
      <c r="C25" s="554"/>
      <c r="D25" s="244" t="s">
        <v>95</v>
      </c>
      <c r="E25" s="554"/>
      <c r="F25" s="554"/>
      <c r="G25" s="554"/>
      <c r="H25" s="245"/>
      <c r="I25" s="243"/>
      <c r="J25" s="239" t="s">
        <v>1054</v>
      </c>
      <c r="K25" s="243"/>
    </row>
    <row r="26" spans="2:11" ht="25" customHeight="1" x14ac:dyDescent="0.3">
      <c r="B26" s="573" t="s">
        <v>324</v>
      </c>
      <c r="C26" s="558" t="s">
        <v>101</v>
      </c>
      <c r="D26" s="247" t="s">
        <v>97</v>
      </c>
      <c r="E26" s="558" t="s">
        <v>8</v>
      </c>
      <c r="F26" s="558" t="s">
        <v>83</v>
      </c>
      <c r="G26" s="558" t="s">
        <v>1799</v>
      </c>
      <c r="H26" s="245"/>
      <c r="I26" s="243"/>
      <c r="J26" s="239" t="s">
        <v>1055</v>
      </c>
      <c r="K26" s="243"/>
    </row>
    <row r="27" spans="2:11" ht="25" customHeight="1" x14ac:dyDescent="0.3">
      <c r="B27" s="567"/>
      <c r="C27" s="553"/>
      <c r="D27" s="248" t="s">
        <v>98</v>
      </c>
      <c r="E27" s="553"/>
      <c r="F27" s="553"/>
      <c r="G27" s="553"/>
      <c r="H27" s="245"/>
      <c r="I27" s="243"/>
      <c r="J27" s="239" t="s">
        <v>1056</v>
      </c>
      <c r="K27" s="243"/>
    </row>
    <row r="28" spans="2:11" s="144" customFormat="1" ht="25" customHeight="1" x14ac:dyDescent="0.35">
      <c r="B28" s="242" t="s">
        <v>1260</v>
      </c>
      <c r="C28" s="242" t="s">
        <v>1261</v>
      </c>
      <c r="D28" s="242" t="s">
        <v>1262</v>
      </c>
      <c r="E28" s="242" t="s">
        <v>8</v>
      </c>
      <c r="F28" s="242" t="s">
        <v>83</v>
      </c>
      <c r="G28" s="242" t="s">
        <v>1798</v>
      </c>
      <c r="H28" s="249"/>
      <c r="I28" s="230"/>
      <c r="J28" s="250" t="s">
        <v>1057</v>
      </c>
      <c r="K28" s="230"/>
    </row>
    <row r="29" spans="2:11" s="144" customFormat="1" ht="25" customHeight="1" x14ac:dyDescent="0.35">
      <c r="B29" s="242" t="s">
        <v>1709</v>
      </c>
      <c r="C29" s="242" t="s">
        <v>1823</v>
      </c>
      <c r="D29" s="242" t="s">
        <v>1709</v>
      </c>
      <c r="E29" s="242" t="s">
        <v>8</v>
      </c>
      <c r="F29" s="242" t="s">
        <v>83</v>
      </c>
      <c r="G29" s="242" t="s">
        <v>1824</v>
      </c>
      <c r="H29" s="249"/>
      <c r="I29" s="230"/>
      <c r="J29" s="250"/>
      <c r="K29" s="230"/>
    </row>
    <row r="30" spans="2:11" s="144" customFormat="1" ht="25" customHeight="1" x14ac:dyDescent="0.35">
      <c r="B30" s="242" t="s">
        <v>1788</v>
      </c>
      <c r="C30" s="242" t="s">
        <v>1789</v>
      </c>
      <c r="D30" s="242" t="s">
        <v>1788</v>
      </c>
      <c r="E30" s="242" t="s">
        <v>8</v>
      </c>
      <c r="F30" s="242" t="s">
        <v>83</v>
      </c>
      <c r="G30" s="242" t="s">
        <v>1800</v>
      </c>
      <c r="H30" s="249"/>
      <c r="I30" s="230"/>
      <c r="J30" s="250"/>
      <c r="K30" s="230"/>
    </row>
    <row r="31" spans="2:11" ht="25" customHeight="1" x14ac:dyDescent="0.3">
      <c r="B31" s="554" t="s">
        <v>1252</v>
      </c>
      <c r="C31" s="554" t="s">
        <v>99</v>
      </c>
      <c r="D31" s="229" t="s">
        <v>97</v>
      </c>
      <c r="E31" s="554" t="s">
        <v>8</v>
      </c>
      <c r="F31" s="554" t="s">
        <v>83</v>
      </c>
      <c r="G31" s="554" t="s">
        <v>1801</v>
      </c>
      <c r="H31" s="251"/>
      <c r="I31" s="252"/>
      <c r="J31" s="239" t="s">
        <v>1058</v>
      </c>
      <c r="K31" s="234"/>
    </row>
    <row r="32" spans="2:11" ht="25" customHeight="1" x14ac:dyDescent="0.3">
      <c r="B32" s="554"/>
      <c r="C32" s="554"/>
      <c r="D32" s="247" t="s">
        <v>98</v>
      </c>
      <c r="E32" s="554"/>
      <c r="F32" s="554"/>
      <c r="G32" s="554"/>
      <c r="H32" s="251"/>
      <c r="I32" s="252"/>
      <c r="J32" s="239" t="s">
        <v>571</v>
      </c>
      <c r="K32" s="234"/>
    </row>
    <row r="33" spans="2:11" ht="25" customHeight="1" x14ac:dyDescent="0.3">
      <c r="B33" s="246" t="s">
        <v>1705</v>
      </c>
      <c r="C33" s="246" t="s">
        <v>1247</v>
      </c>
      <c r="D33" s="246" t="s">
        <v>1802</v>
      </c>
      <c r="E33" s="246" t="s">
        <v>8</v>
      </c>
      <c r="F33" s="242" t="s">
        <v>83</v>
      </c>
      <c r="G33" s="246" t="s">
        <v>1804</v>
      </c>
      <c r="H33" s="251"/>
      <c r="I33" s="252"/>
      <c r="K33" s="234"/>
    </row>
    <row r="34" spans="2:11" ht="25" customHeight="1" x14ac:dyDescent="0.3">
      <c r="B34" s="554" t="s">
        <v>1707</v>
      </c>
      <c r="C34" s="554" t="s">
        <v>1241</v>
      </c>
      <c r="D34" s="229" t="s">
        <v>79</v>
      </c>
      <c r="E34" s="554" t="s">
        <v>8</v>
      </c>
      <c r="F34" s="554" t="s">
        <v>83</v>
      </c>
      <c r="G34" s="554" t="s">
        <v>1803</v>
      </c>
      <c r="H34" s="251"/>
      <c r="I34" s="252"/>
      <c r="J34" s="253" t="s">
        <v>108</v>
      </c>
      <c r="K34" s="234"/>
    </row>
    <row r="35" spans="2:11" ht="25" customHeight="1" x14ac:dyDescent="0.3">
      <c r="B35" s="554"/>
      <c r="C35" s="554"/>
      <c r="D35" s="229" t="s">
        <v>153</v>
      </c>
      <c r="E35" s="554"/>
      <c r="F35" s="554"/>
      <c r="G35" s="554"/>
      <c r="H35" s="251"/>
      <c r="I35" s="252"/>
      <c r="J35" s="254" t="s">
        <v>1059</v>
      </c>
      <c r="K35" s="234"/>
    </row>
    <row r="36" spans="2:11" ht="25" customHeight="1" x14ac:dyDescent="0.3">
      <c r="B36" s="554"/>
      <c r="C36" s="554"/>
      <c r="D36" s="229" t="s">
        <v>87</v>
      </c>
      <c r="E36" s="554"/>
      <c r="F36" s="554"/>
      <c r="G36" s="554"/>
      <c r="H36" s="251"/>
      <c r="I36" s="252"/>
      <c r="J36" s="234" t="s">
        <v>1060</v>
      </c>
      <c r="K36" s="234"/>
    </row>
    <row r="37" spans="2:11" ht="25" customHeight="1" x14ac:dyDescent="0.3">
      <c r="B37" s="554"/>
      <c r="C37" s="554"/>
      <c r="D37" s="229" t="s">
        <v>88</v>
      </c>
      <c r="E37" s="554"/>
      <c r="F37" s="554"/>
      <c r="G37" s="554"/>
      <c r="H37" s="251"/>
      <c r="I37" s="252"/>
      <c r="J37" s="234" t="s">
        <v>1061</v>
      </c>
      <c r="K37" s="234"/>
    </row>
    <row r="38" spans="2:11" ht="25" customHeight="1" x14ac:dyDescent="0.3">
      <c r="B38" s="554"/>
      <c r="C38" s="554"/>
      <c r="D38" s="229" t="s">
        <v>89</v>
      </c>
      <c r="E38" s="554"/>
      <c r="F38" s="554"/>
      <c r="G38" s="554"/>
      <c r="H38" s="251"/>
      <c r="I38" s="252"/>
      <c r="J38" s="234" t="s">
        <v>1062</v>
      </c>
      <c r="K38" s="234"/>
    </row>
    <row r="39" spans="2:11" ht="25" customHeight="1" x14ac:dyDescent="0.3">
      <c r="B39" s="554"/>
      <c r="C39" s="554"/>
      <c r="D39" s="229" t="s">
        <v>1243</v>
      </c>
      <c r="E39" s="554"/>
      <c r="F39" s="554"/>
      <c r="G39" s="554"/>
      <c r="H39" s="251"/>
      <c r="I39" s="252"/>
      <c r="J39" s="234" t="s">
        <v>1063</v>
      </c>
      <c r="K39" s="234"/>
    </row>
    <row r="40" spans="2:11" ht="25" customHeight="1" x14ac:dyDescent="0.3">
      <c r="B40" s="554"/>
      <c r="C40" s="554"/>
      <c r="D40" s="229" t="s">
        <v>1244</v>
      </c>
      <c r="E40" s="554"/>
      <c r="F40" s="554"/>
      <c r="G40" s="554"/>
      <c r="H40" s="251"/>
      <c r="I40" s="252"/>
      <c r="J40" s="234" t="s">
        <v>1064</v>
      </c>
      <c r="K40" s="234"/>
    </row>
    <row r="41" spans="2:11" ht="25" customHeight="1" x14ac:dyDescent="0.3">
      <c r="B41" s="554"/>
      <c r="C41" s="554"/>
      <c r="D41" s="255" t="s">
        <v>1709</v>
      </c>
      <c r="E41" s="554"/>
      <c r="F41" s="554"/>
      <c r="G41" s="554"/>
      <c r="H41" s="251"/>
      <c r="I41" s="252"/>
      <c r="J41" s="234" t="s">
        <v>1065</v>
      </c>
      <c r="K41" s="234"/>
    </row>
    <row r="42" spans="2:11" ht="15" customHeight="1" x14ac:dyDescent="0.3">
      <c r="B42" s="256"/>
      <c r="C42" s="256"/>
      <c r="D42" s="248"/>
      <c r="E42" s="256"/>
      <c r="F42" s="256"/>
      <c r="G42" s="256"/>
      <c r="H42" s="257"/>
      <c r="I42" s="252"/>
      <c r="J42" s="234" t="s">
        <v>1370</v>
      </c>
      <c r="K42" s="234"/>
    </row>
    <row r="43" spans="2:11" ht="15" customHeight="1" x14ac:dyDescent="0.3">
      <c r="B43" s="553"/>
      <c r="C43" s="553"/>
      <c r="D43" s="257"/>
      <c r="E43" s="553"/>
      <c r="F43" s="553"/>
      <c r="G43" s="553"/>
      <c r="H43" s="257"/>
      <c r="I43" s="252"/>
      <c r="K43" s="234"/>
    </row>
    <row r="44" spans="2:11" ht="15" customHeight="1" x14ac:dyDescent="0.3">
      <c r="B44" s="553"/>
      <c r="C44" s="553"/>
      <c r="D44" s="257"/>
      <c r="E44" s="553"/>
      <c r="F44" s="553"/>
      <c r="G44" s="553"/>
      <c r="H44" s="257"/>
      <c r="I44" s="252"/>
      <c r="J44" s="253" t="s">
        <v>118</v>
      </c>
      <c r="K44" s="234"/>
    </row>
    <row r="45" spans="2:11" ht="15" customHeight="1" x14ac:dyDescent="0.3">
      <c r="B45" s="553"/>
      <c r="C45" s="553"/>
      <c r="D45" s="257"/>
      <c r="E45" s="553"/>
      <c r="F45" s="553"/>
      <c r="G45" s="553"/>
      <c r="H45" s="257"/>
      <c r="I45" s="252"/>
      <c r="J45" s="234" t="s">
        <v>117</v>
      </c>
      <c r="K45" s="234"/>
    </row>
    <row r="46" spans="2:11" ht="15" customHeight="1" x14ac:dyDescent="0.3">
      <c r="B46" s="234"/>
      <c r="C46" s="234"/>
      <c r="D46" s="257"/>
      <c r="E46" s="234"/>
      <c r="F46" s="234"/>
      <c r="G46" s="234"/>
      <c r="H46" s="257"/>
      <c r="I46" s="252"/>
      <c r="J46" s="234" t="s">
        <v>1066</v>
      </c>
      <c r="K46" s="234"/>
    </row>
    <row r="47" spans="2:11" ht="15" customHeight="1" x14ac:dyDescent="0.3">
      <c r="B47" s="234"/>
      <c r="C47" s="234"/>
      <c r="D47" s="257"/>
      <c r="E47" s="234"/>
      <c r="F47" s="234"/>
      <c r="G47" s="234"/>
      <c r="H47" s="257"/>
      <c r="I47" s="252"/>
      <c r="J47" s="234" t="s">
        <v>1054</v>
      </c>
      <c r="K47" s="234"/>
    </row>
    <row r="48" spans="2:11" ht="15" customHeight="1" x14ac:dyDescent="0.3">
      <c r="B48" s="567"/>
      <c r="C48" s="553"/>
      <c r="D48" s="257"/>
      <c r="E48" s="553"/>
      <c r="F48" s="553"/>
      <c r="G48" s="553"/>
      <c r="H48" s="257"/>
      <c r="I48" s="252"/>
      <c r="J48" s="234" t="s">
        <v>1067</v>
      </c>
      <c r="K48" s="234"/>
    </row>
    <row r="49" spans="2:11" ht="15" customHeight="1" x14ac:dyDescent="0.3">
      <c r="B49" s="567"/>
      <c r="C49" s="553"/>
      <c r="D49" s="257"/>
      <c r="E49" s="553"/>
      <c r="F49" s="553"/>
      <c r="G49" s="553"/>
      <c r="H49" s="257"/>
      <c r="I49" s="252"/>
      <c r="J49" s="234" t="s">
        <v>1068</v>
      </c>
      <c r="K49" s="234"/>
    </row>
    <row r="50" spans="2:11" ht="15" customHeight="1" x14ac:dyDescent="0.3">
      <c r="B50" s="234"/>
      <c r="C50" s="234"/>
      <c r="D50" s="257"/>
      <c r="E50" s="234"/>
      <c r="F50" s="234"/>
      <c r="G50" s="234"/>
      <c r="H50" s="257"/>
      <c r="I50" s="252"/>
      <c r="J50" s="234" t="s">
        <v>1069</v>
      </c>
      <c r="K50" s="234"/>
    </row>
    <row r="51" spans="2:11" ht="15" customHeight="1" x14ac:dyDescent="0.3">
      <c r="B51" s="234"/>
      <c r="C51" s="234"/>
      <c r="D51" s="257"/>
      <c r="E51" s="234"/>
      <c r="F51" s="234"/>
      <c r="G51" s="234"/>
      <c r="H51" s="257"/>
      <c r="I51" s="252"/>
      <c r="J51" s="234" t="s">
        <v>571</v>
      </c>
      <c r="K51" s="234"/>
    </row>
    <row r="52" spans="2:11" ht="15" customHeight="1" x14ac:dyDescent="0.3">
      <c r="B52" s="553"/>
      <c r="C52" s="553"/>
      <c r="D52" s="230"/>
      <c r="E52" s="553"/>
      <c r="F52" s="553"/>
      <c r="G52" s="553"/>
      <c r="H52" s="257"/>
      <c r="I52" s="252"/>
      <c r="K52" s="234"/>
    </row>
    <row r="53" spans="2:11" ht="15" customHeight="1" x14ac:dyDescent="0.3">
      <c r="B53" s="553"/>
      <c r="C53" s="553"/>
      <c r="D53" s="230"/>
      <c r="E53" s="553"/>
      <c r="F53" s="553"/>
      <c r="G53" s="553"/>
      <c r="H53" s="257"/>
      <c r="I53" s="252"/>
      <c r="J53" s="258" t="s">
        <v>119</v>
      </c>
      <c r="K53" s="234"/>
    </row>
    <row r="54" spans="2:11" ht="15" customHeight="1" x14ac:dyDescent="0.3">
      <c r="B54" s="234"/>
      <c r="C54" s="234"/>
      <c r="D54" s="257"/>
      <c r="E54" s="234"/>
      <c r="F54" s="234"/>
      <c r="G54" s="234"/>
      <c r="H54" s="257"/>
      <c r="I54" s="252"/>
      <c r="J54" s="234" t="s">
        <v>117</v>
      </c>
      <c r="K54" s="234"/>
    </row>
    <row r="55" spans="2:11" ht="15" customHeight="1" x14ac:dyDescent="0.3">
      <c r="B55" s="252"/>
      <c r="C55" s="252"/>
      <c r="D55" s="230"/>
      <c r="E55" s="252"/>
      <c r="F55" s="252"/>
      <c r="G55" s="252"/>
      <c r="H55" s="257"/>
      <c r="I55" s="252"/>
      <c r="J55" s="234" t="s">
        <v>1070</v>
      </c>
      <c r="K55" s="234"/>
    </row>
    <row r="56" spans="2:11" ht="15" customHeight="1" x14ac:dyDescent="0.3">
      <c r="B56" s="234"/>
      <c r="C56" s="234"/>
      <c r="D56" s="257"/>
      <c r="E56" s="234"/>
      <c r="F56" s="234"/>
      <c r="G56" s="234"/>
      <c r="H56" s="257"/>
      <c r="I56" s="252"/>
      <c r="J56" s="234" t="s">
        <v>1371</v>
      </c>
      <c r="K56" s="234"/>
    </row>
    <row r="57" spans="2:11" ht="15" customHeight="1" x14ac:dyDescent="0.3">
      <c r="B57" s="234"/>
      <c r="C57" s="234"/>
      <c r="D57" s="257"/>
      <c r="E57" s="234"/>
      <c r="F57" s="234"/>
      <c r="G57" s="234"/>
      <c r="H57" s="257"/>
      <c r="I57" s="252"/>
      <c r="J57" s="234" t="s">
        <v>1071</v>
      </c>
      <c r="K57" s="234"/>
    </row>
    <row r="58" spans="2:11" ht="15" customHeight="1" x14ac:dyDescent="0.3">
      <c r="B58" s="252"/>
      <c r="C58" s="252"/>
      <c r="D58" s="230"/>
      <c r="E58" s="252"/>
      <c r="F58" s="252"/>
      <c r="G58" s="252"/>
      <c r="H58" s="257"/>
      <c r="I58" s="252"/>
      <c r="J58" s="234" t="s">
        <v>1072</v>
      </c>
      <c r="K58" s="234"/>
    </row>
    <row r="59" spans="2:11" ht="15" customHeight="1" x14ac:dyDescent="0.3">
      <c r="B59" s="234"/>
      <c r="C59" s="234"/>
      <c r="D59" s="257"/>
      <c r="E59" s="234"/>
      <c r="F59" s="234"/>
      <c r="G59" s="234"/>
      <c r="H59" s="257"/>
      <c r="I59" s="252"/>
      <c r="J59" s="234" t="s">
        <v>1073</v>
      </c>
      <c r="K59" s="234"/>
    </row>
    <row r="60" spans="2:11" ht="15" customHeight="1" x14ac:dyDescent="0.3">
      <c r="B60" s="234"/>
      <c r="C60" s="234"/>
      <c r="D60" s="257"/>
      <c r="E60" s="234"/>
      <c r="F60" s="234"/>
      <c r="G60" s="234"/>
      <c r="H60" s="257"/>
      <c r="I60" s="252"/>
      <c r="J60" s="234" t="s">
        <v>1074</v>
      </c>
      <c r="K60" s="234"/>
    </row>
    <row r="61" spans="2:11" ht="15" customHeight="1" x14ac:dyDescent="0.3">
      <c r="B61" s="234"/>
      <c r="C61" s="234"/>
      <c r="D61" s="257"/>
      <c r="E61" s="234"/>
      <c r="F61" s="234"/>
      <c r="G61" s="234"/>
      <c r="H61" s="257"/>
      <c r="I61" s="252"/>
      <c r="K61" s="234"/>
    </row>
    <row r="62" spans="2:11" ht="15" customHeight="1" x14ac:dyDescent="0.3">
      <c r="B62" s="234"/>
      <c r="C62" s="234"/>
      <c r="D62" s="257"/>
      <c r="E62" s="234"/>
      <c r="F62" s="234"/>
      <c r="G62" s="234"/>
      <c r="H62" s="257"/>
      <c r="I62" s="252"/>
      <c r="J62" s="259" t="s">
        <v>111</v>
      </c>
      <c r="K62" s="234"/>
    </row>
    <row r="63" spans="2:11" ht="15" customHeight="1" x14ac:dyDescent="0.3">
      <c r="B63" s="234"/>
      <c r="C63" s="234"/>
      <c r="D63" s="257"/>
      <c r="E63" s="234"/>
      <c r="F63" s="234"/>
      <c r="G63" s="234"/>
      <c r="H63" s="257"/>
      <c r="I63" s="252"/>
      <c r="J63" s="234" t="s">
        <v>117</v>
      </c>
      <c r="K63" s="234"/>
    </row>
    <row r="64" spans="2:11" ht="15" customHeight="1" x14ac:dyDescent="0.3">
      <c r="B64" s="234"/>
      <c r="C64" s="234"/>
      <c r="D64" s="257"/>
      <c r="E64" s="234"/>
      <c r="F64" s="234"/>
      <c r="G64" s="234"/>
      <c r="H64" s="257"/>
      <c r="I64" s="252"/>
      <c r="J64" s="234" t="s">
        <v>1075</v>
      </c>
      <c r="K64" s="234"/>
    </row>
    <row r="65" spans="2:11" ht="15" customHeight="1" x14ac:dyDescent="0.3">
      <c r="B65" s="234"/>
      <c r="C65" s="234"/>
      <c r="D65" s="257"/>
      <c r="E65" s="234"/>
      <c r="F65" s="234"/>
      <c r="G65" s="234"/>
      <c r="H65" s="257"/>
      <c r="I65" s="252"/>
      <c r="J65" s="234" t="s">
        <v>1076</v>
      </c>
      <c r="K65" s="234"/>
    </row>
    <row r="66" spans="2:11" ht="15" customHeight="1" x14ac:dyDescent="0.3">
      <c r="B66" s="234"/>
      <c r="C66" s="234"/>
      <c r="D66" s="257"/>
      <c r="E66" s="234"/>
      <c r="F66" s="234"/>
      <c r="G66" s="234"/>
      <c r="H66" s="257"/>
      <c r="I66" s="252"/>
      <c r="J66" s="234" t="s">
        <v>1077</v>
      </c>
      <c r="K66" s="234"/>
    </row>
    <row r="67" spans="2:11" ht="15" customHeight="1" x14ac:dyDescent="0.3">
      <c r="B67" s="234"/>
      <c r="C67" s="234"/>
      <c r="D67" s="257"/>
      <c r="E67" s="234"/>
      <c r="F67" s="234"/>
      <c r="G67" s="234"/>
      <c r="H67" s="257"/>
      <c r="I67" s="252"/>
      <c r="J67" s="234" t="s">
        <v>1078</v>
      </c>
      <c r="K67" s="234"/>
    </row>
    <row r="68" spans="2:11" ht="15" customHeight="1" x14ac:dyDescent="0.3">
      <c r="B68" s="234"/>
      <c r="C68" s="234"/>
      <c r="D68" s="257"/>
      <c r="E68" s="234"/>
      <c r="F68" s="234"/>
      <c r="G68" s="234"/>
      <c r="H68" s="257"/>
      <c r="I68" s="252"/>
      <c r="J68" s="234" t="s">
        <v>1079</v>
      </c>
      <c r="K68" s="234"/>
    </row>
    <row r="69" spans="2:11" ht="15" customHeight="1" x14ac:dyDescent="0.3">
      <c r="B69" s="234"/>
      <c r="C69" s="234"/>
      <c r="D69" s="257"/>
      <c r="E69" s="234"/>
      <c r="F69" s="234"/>
      <c r="G69" s="234"/>
      <c r="H69" s="257"/>
      <c r="I69" s="252"/>
      <c r="J69" s="234" t="s">
        <v>951</v>
      </c>
      <c r="K69" s="234"/>
    </row>
    <row r="70" spans="2:11" ht="15" customHeight="1" x14ac:dyDescent="0.3">
      <c r="B70" s="234"/>
      <c r="C70" s="234"/>
      <c r="D70" s="257"/>
      <c r="E70" s="234"/>
      <c r="F70" s="234"/>
      <c r="G70" s="234"/>
      <c r="H70" s="257"/>
      <c r="I70" s="252"/>
      <c r="J70" s="234"/>
      <c r="K70" s="234"/>
    </row>
    <row r="71" spans="2:11" x14ac:dyDescent="0.3">
      <c r="B71" s="567"/>
      <c r="C71" s="567"/>
      <c r="D71" s="257"/>
      <c r="E71" s="567"/>
      <c r="F71" s="553"/>
      <c r="G71" s="567"/>
      <c r="H71" s="257"/>
      <c r="I71" s="252"/>
      <c r="J71" s="259" t="s">
        <v>112</v>
      </c>
      <c r="K71" s="234"/>
    </row>
    <row r="72" spans="2:11" x14ac:dyDescent="0.3">
      <c r="B72" s="567"/>
      <c r="C72" s="567"/>
      <c r="D72" s="257"/>
      <c r="E72" s="567"/>
      <c r="F72" s="553"/>
      <c r="G72" s="567"/>
      <c r="H72" s="257"/>
      <c r="I72" s="252"/>
      <c r="J72" s="234" t="s">
        <v>1080</v>
      </c>
      <c r="K72" s="234"/>
    </row>
    <row r="73" spans="2:11" x14ac:dyDescent="0.3">
      <c r="B73" s="567"/>
      <c r="C73" s="567"/>
      <c r="D73" s="257"/>
      <c r="E73" s="567"/>
      <c r="F73" s="553"/>
      <c r="G73" s="567"/>
      <c r="H73" s="257"/>
      <c r="I73" s="252"/>
      <c r="J73" s="254" t="s">
        <v>1081</v>
      </c>
      <c r="K73" s="234"/>
    </row>
    <row r="74" spans="2:11" x14ac:dyDescent="0.3">
      <c r="B74" s="553"/>
      <c r="C74" s="553"/>
      <c r="D74" s="230"/>
      <c r="E74" s="553"/>
      <c r="F74" s="553"/>
      <c r="G74" s="553"/>
      <c r="H74" s="257"/>
      <c r="I74" s="260"/>
      <c r="J74" s="234" t="s">
        <v>1082</v>
      </c>
      <c r="K74" s="234"/>
    </row>
    <row r="75" spans="2:11" x14ac:dyDescent="0.3">
      <c r="B75" s="553"/>
      <c r="C75" s="553"/>
      <c r="D75" s="230"/>
      <c r="E75" s="553"/>
      <c r="F75" s="553"/>
      <c r="G75" s="553"/>
      <c r="H75" s="257"/>
      <c r="I75" s="260"/>
      <c r="J75" s="234" t="s">
        <v>1083</v>
      </c>
      <c r="K75" s="234"/>
    </row>
    <row r="76" spans="2:11" x14ac:dyDescent="0.3">
      <c r="B76" s="234"/>
      <c r="C76" s="234"/>
      <c r="D76" s="257"/>
      <c r="E76" s="234"/>
      <c r="F76" s="234"/>
      <c r="G76" s="234"/>
      <c r="H76" s="257"/>
      <c r="I76" s="260"/>
      <c r="J76" s="234" t="s">
        <v>1084</v>
      </c>
      <c r="K76" s="234"/>
    </row>
    <row r="77" spans="2:11" x14ac:dyDescent="0.3">
      <c r="B77" s="234"/>
      <c r="C77" s="234"/>
      <c r="D77" s="257"/>
      <c r="E77" s="234"/>
      <c r="F77" s="234"/>
      <c r="G77" s="234"/>
      <c r="H77" s="257"/>
      <c r="I77" s="260"/>
      <c r="J77" s="234" t="s">
        <v>571</v>
      </c>
      <c r="K77" s="234"/>
    </row>
    <row r="78" spans="2:11" x14ac:dyDescent="0.3">
      <c r="B78" s="234"/>
      <c r="C78" s="234"/>
      <c r="D78" s="257"/>
      <c r="E78" s="234"/>
      <c r="F78" s="234"/>
      <c r="G78" s="234"/>
      <c r="H78" s="257"/>
      <c r="I78" s="252"/>
      <c r="J78" s="234"/>
      <c r="K78" s="234"/>
    </row>
    <row r="79" spans="2:11" x14ac:dyDescent="0.3">
      <c r="B79" s="234"/>
      <c r="C79" s="234"/>
      <c r="D79" s="257"/>
      <c r="E79" s="234"/>
      <c r="F79" s="234"/>
      <c r="G79" s="234"/>
      <c r="H79" s="257"/>
      <c r="I79" s="252"/>
      <c r="J79" s="258" t="s">
        <v>113</v>
      </c>
      <c r="K79" s="234"/>
    </row>
    <row r="80" spans="2:11" x14ac:dyDescent="0.3">
      <c r="B80" s="234"/>
      <c r="C80" s="234"/>
      <c r="D80" s="257"/>
      <c r="E80" s="234"/>
      <c r="F80" s="234"/>
      <c r="G80" s="234"/>
      <c r="H80" s="257"/>
      <c r="I80" s="252"/>
      <c r="J80" s="234" t="s">
        <v>1085</v>
      </c>
      <c r="K80" s="234"/>
    </row>
    <row r="81" spans="2:11" x14ac:dyDescent="0.3">
      <c r="B81" s="234"/>
      <c r="C81" s="234"/>
      <c r="D81" s="257"/>
      <c r="E81" s="234"/>
      <c r="F81" s="234"/>
      <c r="G81" s="234"/>
      <c r="H81" s="257"/>
      <c r="I81" s="260"/>
      <c r="J81" s="234" t="s">
        <v>1086</v>
      </c>
      <c r="K81" s="234"/>
    </row>
    <row r="82" spans="2:11" x14ac:dyDescent="0.3">
      <c r="B82" s="234"/>
      <c r="C82" s="234"/>
      <c r="D82" s="257"/>
      <c r="E82" s="234"/>
      <c r="F82" s="234"/>
      <c r="G82" s="234"/>
      <c r="H82" s="257"/>
      <c r="I82" s="260"/>
      <c r="J82" s="234" t="s">
        <v>1087</v>
      </c>
      <c r="K82" s="234"/>
    </row>
    <row r="83" spans="2:11" x14ac:dyDescent="0.3">
      <c r="B83" s="234"/>
      <c r="C83" s="234"/>
      <c r="D83" s="257"/>
      <c r="E83" s="234"/>
      <c r="F83" s="234"/>
      <c r="G83" s="234"/>
      <c r="H83" s="257"/>
      <c r="I83" s="260"/>
      <c r="J83" s="234" t="s">
        <v>571</v>
      </c>
      <c r="K83" s="234"/>
    </row>
    <row r="84" spans="2:11" x14ac:dyDescent="0.3">
      <c r="B84" s="234"/>
      <c r="C84" s="234"/>
      <c r="D84" s="257"/>
      <c r="E84" s="234"/>
      <c r="F84" s="234"/>
      <c r="G84" s="234"/>
      <c r="H84" s="257"/>
      <c r="I84" s="260"/>
      <c r="J84" s="234"/>
      <c r="K84" s="234"/>
    </row>
    <row r="85" spans="2:11" x14ac:dyDescent="0.3">
      <c r="B85" s="234"/>
      <c r="C85" s="234"/>
      <c r="D85" s="257"/>
      <c r="E85" s="234"/>
      <c r="F85" s="234"/>
      <c r="G85" s="234"/>
      <c r="H85" s="257"/>
      <c r="I85" s="260"/>
      <c r="J85" s="258" t="s">
        <v>121</v>
      </c>
      <c r="K85" s="234"/>
    </row>
    <row r="86" spans="2:11" x14ac:dyDescent="0.3">
      <c r="B86" s="234"/>
      <c r="C86" s="234"/>
      <c r="D86" s="257"/>
      <c r="E86" s="234"/>
      <c r="F86" s="234"/>
      <c r="G86" s="234"/>
      <c r="H86" s="257"/>
      <c r="I86" s="252"/>
      <c r="J86" s="254" t="s">
        <v>1088</v>
      </c>
      <c r="K86" s="234"/>
    </row>
    <row r="87" spans="2:11" ht="28" x14ac:dyDescent="0.3">
      <c r="B87" s="234"/>
      <c r="C87" s="234"/>
      <c r="D87" s="257"/>
      <c r="E87" s="234"/>
      <c r="F87" s="234"/>
      <c r="G87" s="234"/>
      <c r="H87" s="257"/>
      <c r="I87" s="252"/>
      <c r="J87" s="254" t="s">
        <v>1089</v>
      </c>
      <c r="K87" s="234"/>
    </row>
    <row r="88" spans="2:11" x14ac:dyDescent="0.3">
      <c r="B88" s="234"/>
      <c r="C88" s="234"/>
      <c r="D88" s="257"/>
      <c r="E88" s="234"/>
      <c r="F88" s="234"/>
      <c r="G88" s="234"/>
      <c r="H88" s="257"/>
      <c r="I88" s="252"/>
      <c r="J88" s="254" t="s">
        <v>1090</v>
      </c>
      <c r="K88" s="234"/>
    </row>
    <row r="89" spans="2:11" ht="28" x14ac:dyDescent="0.3">
      <c r="B89" s="234"/>
      <c r="C89" s="234"/>
      <c r="D89" s="257"/>
      <c r="E89" s="234"/>
      <c r="F89" s="234"/>
      <c r="G89" s="234"/>
      <c r="H89" s="257"/>
      <c r="I89" s="252"/>
      <c r="J89" s="254" t="s">
        <v>1091</v>
      </c>
      <c r="K89" s="234"/>
    </row>
    <row r="90" spans="2:11" x14ac:dyDescent="0.3">
      <c r="B90" s="234"/>
      <c r="C90" s="234"/>
      <c r="D90" s="257"/>
      <c r="E90" s="234"/>
      <c r="F90" s="234"/>
      <c r="G90" s="234"/>
      <c r="H90" s="257"/>
      <c r="I90" s="252"/>
      <c r="J90" s="234" t="s">
        <v>571</v>
      </c>
      <c r="K90" s="234"/>
    </row>
    <row r="91" spans="2:11" x14ac:dyDescent="0.3">
      <c r="B91" s="234"/>
      <c r="C91" s="234"/>
      <c r="D91" s="257"/>
      <c r="E91" s="234"/>
      <c r="F91" s="234"/>
      <c r="G91" s="234"/>
      <c r="H91" s="257"/>
      <c r="I91" s="252"/>
      <c r="J91" s="234"/>
      <c r="K91" s="234"/>
    </row>
    <row r="92" spans="2:11" x14ac:dyDescent="0.3">
      <c r="B92" s="234"/>
      <c r="C92" s="234"/>
      <c r="D92" s="257"/>
      <c r="E92" s="234"/>
      <c r="F92" s="234"/>
      <c r="G92" s="234"/>
      <c r="H92" s="257"/>
      <c r="I92" s="252"/>
      <c r="J92" s="234"/>
      <c r="K92" s="234"/>
    </row>
    <row r="93" spans="2:11" x14ac:dyDescent="0.3">
      <c r="B93" s="234"/>
      <c r="C93" s="234"/>
      <c r="D93" s="257"/>
      <c r="E93" s="234"/>
      <c r="F93" s="234"/>
      <c r="G93" s="234"/>
      <c r="H93" s="257"/>
      <c r="I93" s="252"/>
      <c r="J93" s="234"/>
      <c r="K93" s="234"/>
    </row>
    <row r="94" spans="2:11" x14ac:dyDescent="0.3">
      <c r="B94" s="234"/>
      <c r="C94" s="234"/>
      <c r="D94" s="257"/>
      <c r="E94" s="234"/>
      <c r="F94" s="234"/>
      <c r="G94" s="234"/>
      <c r="H94" s="257"/>
      <c r="I94" s="252"/>
      <c r="J94" s="234"/>
      <c r="K94" s="234"/>
    </row>
    <row r="95" spans="2:11" x14ac:dyDescent="0.3">
      <c r="B95" s="234"/>
      <c r="C95" s="234"/>
      <c r="D95" s="257"/>
      <c r="E95" s="234"/>
      <c r="F95" s="234"/>
      <c r="G95" s="234"/>
      <c r="H95" s="257"/>
      <c r="I95" s="252"/>
      <c r="J95" s="234"/>
      <c r="K95" s="234"/>
    </row>
    <row r="96" spans="2:11" x14ac:dyDescent="0.3">
      <c r="B96" s="234"/>
      <c r="C96" s="234"/>
      <c r="D96" s="257"/>
      <c r="E96" s="234"/>
      <c r="F96" s="234"/>
      <c r="G96" s="234"/>
      <c r="H96" s="257"/>
      <c r="I96" s="252"/>
      <c r="J96" s="234"/>
      <c r="K96" s="234"/>
    </row>
    <row r="97" spans="2:11" x14ac:dyDescent="0.3">
      <c r="B97" s="234"/>
      <c r="C97" s="234"/>
      <c r="D97" s="257"/>
      <c r="E97" s="234"/>
      <c r="F97" s="234"/>
      <c r="G97" s="234"/>
      <c r="H97" s="257"/>
      <c r="I97" s="252"/>
      <c r="J97" s="234"/>
      <c r="K97" s="234"/>
    </row>
    <row r="98" spans="2:11" x14ac:dyDescent="0.3">
      <c r="B98" s="234"/>
      <c r="C98" s="234"/>
      <c r="D98" s="257"/>
      <c r="E98" s="234"/>
      <c r="F98" s="234"/>
      <c r="G98" s="234"/>
      <c r="H98" s="257"/>
      <c r="I98" s="252"/>
      <c r="J98" s="234"/>
      <c r="K98" s="234"/>
    </row>
    <row r="99" spans="2:11" x14ac:dyDescent="0.3">
      <c r="B99" s="234"/>
      <c r="C99" s="234"/>
      <c r="D99" s="257"/>
      <c r="E99" s="234"/>
      <c r="F99" s="234"/>
      <c r="G99" s="234"/>
      <c r="H99" s="257"/>
      <c r="I99" s="252"/>
      <c r="J99" s="234"/>
      <c r="K99" s="234"/>
    </row>
    <row r="100" spans="2:11" x14ac:dyDescent="0.3">
      <c r="B100" s="234"/>
      <c r="C100" s="234"/>
      <c r="D100" s="257"/>
      <c r="E100" s="234"/>
      <c r="F100" s="234"/>
      <c r="G100" s="234"/>
      <c r="H100" s="257"/>
      <c r="I100" s="252"/>
      <c r="J100" s="234"/>
      <c r="K100" s="234"/>
    </row>
    <row r="101" spans="2:11" x14ac:dyDescent="0.3">
      <c r="B101" s="234"/>
      <c r="C101" s="234"/>
      <c r="D101" s="257"/>
      <c r="E101" s="234"/>
      <c r="F101" s="234"/>
      <c r="G101" s="234"/>
      <c r="H101" s="257"/>
      <c r="I101" s="252"/>
      <c r="J101" s="234"/>
      <c r="K101" s="234"/>
    </row>
    <row r="102" spans="2:11" x14ac:dyDescent="0.3">
      <c r="B102" s="234"/>
      <c r="C102" s="234"/>
      <c r="D102" s="257"/>
      <c r="E102" s="234"/>
      <c r="F102" s="234"/>
      <c r="G102" s="234"/>
      <c r="H102" s="257"/>
      <c r="I102" s="252"/>
      <c r="J102" s="234"/>
      <c r="K102" s="234"/>
    </row>
    <row r="103" spans="2:11" x14ac:dyDescent="0.3">
      <c r="B103" s="234"/>
      <c r="C103" s="234"/>
      <c r="D103" s="257"/>
      <c r="E103" s="234"/>
      <c r="F103" s="234"/>
      <c r="G103" s="234"/>
      <c r="H103" s="257"/>
      <c r="I103" s="252"/>
      <c r="J103" s="234"/>
      <c r="K103" s="234"/>
    </row>
    <row r="104" spans="2:11" x14ac:dyDescent="0.3">
      <c r="B104" s="234"/>
      <c r="C104" s="234"/>
      <c r="D104" s="257"/>
      <c r="E104" s="234"/>
      <c r="F104" s="234"/>
      <c r="G104" s="234"/>
      <c r="H104" s="257"/>
      <c r="I104" s="261"/>
      <c r="J104" s="234"/>
      <c r="K104" s="234"/>
    </row>
    <row r="105" spans="2:11" x14ac:dyDescent="0.3">
      <c r="B105" s="234"/>
      <c r="C105" s="234"/>
      <c r="D105" s="257"/>
      <c r="E105" s="234"/>
      <c r="F105" s="234"/>
      <c r="G105" s="234"/>
      <c r="H105" s="257"/>
      <c r="I105" s="261"/>
      <c r="K105" s="234"/>
    </row>
    <row r="106" spans="2:11" ht="14.5" thickBot="1" x14ac:dyDescent="0.35">
      <c r="B106" s="262"/>
      <c r="C106" s="262"/>
      <c r="D106" s="263"/>
      <c r="E106" s="262"/>
      <c r="F106" s="262"/>
      <c r="G106" s="262"/>
      <c r="H106" s="263"/>
      <c r="I106" s="264"/>
      <c r="J106" s="262"/>
      <c r="K106" s="262"/>
    </row>
    <row r="107" spans="2:11" ht="25" customHeight="1" thickTop="1" x14ac:dyDescent="0.3">
      <c r="B107" s="552" t="s">
        <v>1257</v>
      </c>
      <c r="C107" s="552" t="s">
        <v>1256</v>
      </c>
      <c r="D107" s="224" t="s">
        <v>124</v>
      </c>
      <c r="E107" s="552" t="s">
        <v>123</v>
      </c>
      <c r="F107" s="552" t="s">
        <v>9</v>
      </c>
      <c r="G107" s="552" t="s">
        <v>1269</v>
      </c>
      <c r="H107" s="552" t="s">
        <v>211</v>
      </c>
      <c r="I107" s="265" t="s">
        <v>125</v>
      </c>
      <c r="J107" s="266" t="s">
        <v>125</v>
      </c>
      <c r="K107" s="224"/>
    </row>
    <row r="108" spans="2:11" ht="25" customHeight="1" x14ac:dyDescent="0.3">
      <c r="B108" s="553"/>
      <c r="C108" s="553"/>
      <c r="D108" s="230" t="s">
        <v>140</v>
      </c>
      <c r="E108" s="553"/>
      <c r="F108" s="553"/>
      <c r="G108" s="553"/>
      <c r="H108" s="553"/>
      <c r="I108" s="234" t="s">
        <v>126</v>
      </c>
      <c r="J108" s="234" t="s">
        <v>12</v>
      </c>
      <c r="K108" s="234"/>
    </row>
    <row r="109" spans="2:11" ht="25" customHeight="1" x14ac:dyDescent="0.3">
      <c r="B109" s="556"/>
      <c r="C109" s="556"/>
      <c r="D109" s="267"/>
      <c r="E109" s="556"/>
      <c r="F109" s="556"/>
      <c r="G109" s="556"/>
      <c r="H109" s="556"/>
      <c r="I109" s="234" t="s">
        <v>127</v>
      </c>
      <c r="J109" s="234" t="s">
        <v>54</v>
      </c>
      <c r="K109" s="234"/>
    </row>
    <row r="110" spans="2:11" x14ac:dyDescent="0.3">
      <c r="B110" s="234"/>
      <c r="C110" s="234"/>
      <c r="D110" s="257"/>
      <c r="E110" s="234"/>
      <c r="F110" s="234"/>
      <c r="G110" s="234"/>
      <c r="H110" s="257"/>
      <c r="I110" s="234" t="s">
        <v>659</v>
      </c>
      <c r="J110" s="234" t="s">
        <v>184</v>
      </c>
      <c r="K110" s="234"/>
    </row>
    <row r="111" spans="2:11" x14ac:dyDescent="0.3">
      <c r="B111" s="234"/>
      <c r="C111" s="234"/>
      <c r="D111" s="257"/>
      <c r="E111" s="234"/>
      <c r="F111" s="234"/>
      <c r="G111" s="234"/>
      <c r="H111" s="257"/>
      <c r="I111" s="234" t="s">
        <v>137</v>
      </c>
      <c r="J111" s="258" t="s">
        <v>128</v>
      </c>
      <c r="K111" s="234"/>
    </row>
    <row r="112" spans="2:11" x14ac:dyDescent="0.3">
      <c r="B112" s="234"/>
      <c r="C112" s="234"/>
      <c r="D112" s="257"/>
      <c r="E112" s="234"/>
      <c r="F112" s="234"/>
      <c r="G112" s="234"/>
      <c r="H112" s="257"/>
      <c r="I112" s="234" t="s">
        <v>135</v>
      </c>
      <c r="J112" s="234" t="s">
        <v>10</v>
      </c>
      <c r="K112" s="234"/>
    </row>
    <row r="113" spans="2:11" x14ac:dyDescent="0.3">
      <c r="B113" s="234"/>
      <c r="C113" s="234"/>
      <c r="D113" s="257"/>
      <c r="E113" s="234"/>
      <c r="F113" s="234"/>
      <c r="G113" s="234"/>
      <c r="H113" s="257"/>
      <c r="I113" s="234"/>
      <c r="J113" s="234" t="s">
        <v>11</v>
      </c>
      <c r="K113" s="234"/>
    </row>
    <row r="114" spans="2:11" x14ac:dyDescent="0.3">
      <c r="B114" s="234"/>
      <c r="C114" s="234"/>
      <c r="D114" s="257"/>
      <c r="E114" s="234"/>
      <c r="F114" s="234"/>
      <c r="G114" s="234"/>
      <c r="H114" s="257"/>
      <c r="I114" s="234"/>
      <c r="J114" s="234" t="s">
        <v>820</v>
      </c>
      <c r="K114" s="234"/>
    </row>
    <row r="115" spans="2:11" x14ac:dyDescent="0.3">
      <c r="B115" s="234"/>
      <c r="C115" s="234"/>
      <c r="D115" s="257"/>
      <c r="E115" s="234"/>
      <c r="F115" s="234"/>
      <c r="G115" s="234"/>
      <c r="H115" s="257"/>
      <c r="I115" s="234"/>
      <c r="J115" s="258" t="s">
        <v>127</v>
      </c>
      <c r="K115" s="234"/>
    </row>
    <row r="116" spans="2:11" x14ac:dyDescent="0.3">
      <c r="B116" s="234"/>
      <c r="C116" s="234"/>
      <c r="D116" s="257"/>
      <c r="E116" s="234"/>
      <c r="F116" s="234"/>
      <c r="G116" s="234"/>
      <c r="H116" s="257"/>
      <c r="I116" s="234"/>
      <c r="J116" s="234" t="s">
        <v>817</v>
      </c>
      <c r="K116" s="234"/>
    </row>
    <row r="117" spans="2:11" x14ac:dyDescent="0.3">
      <c r="B117" s="234"/>
      <c r="C117" s="234"/>
      <c r="D117" s="257"/>
      <c r="E117" s="234"/>
      <c r="F117" s="234"/>
      <c r="G117" s="234"/>
      <c r="H117" s="257"/>
      <c r="I117" s="234"/>
      <c r="J117" s="234" t="s">
        <v>818</v>
      </c>
      <c r="K117" s="234"/>
    </row>
    <row r="118" spans="2:11" x14ac:dyDescent="0.3">
      <c r="B118" s="234"/>
      <c r="C118" s="234"/>
      <c r="D118" s="257"/>
      <c r="E118" s="234"/>
      <c r="F118" s="234"/>
      <c r="G118" s="234"/>
      <c r="H118" s="257"/>
      <c r="I118" s="234"/>
      <c r="J118" s="234" t="s">
        <v>819</v>
      </c>
      <c r="K118" s="234"/>
    </row>
    <row r="119" spans="2:11" x14ac:dyDescent="0.3">
      <c r="B119" s="234"/>
      <c r="C119" s="234"/>
      <c r="D119" s="257"/>
      <c r="E119" s="234"/>
      <c r="F119" s="234"/>
      <c r="G119" s="234"/>
      <c r="H119" s="257"/>
      <c r="I119" s="234"/>
      <c r="J119" s="258" t="s">
        <v>296</v>
      </c>
      <c r="K119" s="234"/>
    </row>
    <row r="120" spans="2:11" x14ac:dyDescent="0.3">
      <c r="B120" s="234"/>
      <c r="C120" s="234"/>
      <c r="D120" s="257"/>
      <c r="E120" s="234"/>
      <c r="F120" s="234"/>
      <c r="G120" s="234"/>
      <c r="H120" s="257"/>
      <c r="I120" s="234"/>
      <c r="J120" s="234" t="str">
        <f>'GRC and TUL Assumptions'!C33</f>
        <v>None</v>
      </c>
      <c r="K120" s="234"/>
    </row>
    <row r="121" spans="2:11" x14ac:dyDescent="0.3">
      <c r="B121" s="234"/>
      <c r="C121" s="234"/>
      <c r="D121" s="257"/>
      <c r="E121" s="234"/>
      <c r="F121" s="234"/>
      <c r="G121" s="234"/>
      <c r="H121" s="257"/>
      <c r="I121" s="234"/>
      <c r="J121" s="234" t="str">
        <f>'GRC and TUL Assumptions'!D33</f>
        <v>One Side</v>
      </c>
      <c r="K121" s="234"/>
    </row>
    <row r="122" spans="2:11" x14ac:dyDescent="0.3">
      <c r="B122" s="234"/>
      <c r="C122" s="234"/>
      <c r="D122" s="257"/>
      <c r="E122" s="234"/>
      <c r="F122" s="234"/>
      <c r="G122" s="234"/>
      <c r="H122" s="257"/>
      <c r="I122" s="234"/>
      <c r="J122" s="234" t="str">
        <f>'GRC and TUL Assumptions'!E33</f>
        <v xml:space="preserve"> Both Side </v>
      </c>
      <c r="K122" s="234"/>
    </row>
    <row r="123" spans="2:11" x14ac:dyDescent="0.3">
      <c r="B123" s="234"/>
      <c r="C123" s="234"/>
      <c r="D123" s="257"/>
      <c r="E123" s="234"/>
      <c r="F123" s="234"/>
      <c r="G123" s="234"/>
      <c r="H123" s="257"/>
      <c r="I123" s="234"/>
      <c r="J123" s="234"/>
      <c r="K123" s="234"/>
    </row>
    <row r="124" spans="2:11" ht="28" x14ac:dyDescent="0.3">
      <c r="B124" s="553"/>
      <c r="C124" s="553"/>
      <c r="D124" s="230"/>
      <c r="E124" s="553"/>
      <c r="F124" s="553"/>
      <c r="G124" s="553"/>
      <c r="H124" s="230"/>
      <c r="I124" s="268"/>
      <c r="J124" s="269" t="s">
        <v>136</v>
      </c>
      <c r="K124" s="230"/>
    </row>
    <row r="125" spans="2:11" x14ac:dyDescent="0.3">
      <c r="B125" s="553"/>
      <c r="C125" s="553"/>
      <c r="D125" s="257"/>
      <c r="E125" s="553"/>
      <c r="F125" s="553"/>
      <c r="G125" s="553"/>
      <c r="H125" s="257"/>
      <c r="I125" s="234"/>
      <c r="J125" s="257">
        <v>0</v>
      </c>
      <c r="K125" s="234"/>
    </row>
    <row r="126" spans="2:11" x14ac:dyDescent="0.3">
      <c r="B126" s="553"/>
      <c r="C126" s="553"/>
      <c r="D126" s="257"/>
      <c r="E126" s="553"/>
      <c r="F126" s="553"/>
      <c r="G126" s="553"/>
      <c r="H126" s="257"/>
      <c r="I126" s="234"/>
      <c r="J126" s="257">
        <v>1</v>
      </c>
      <c r="K126" s="234"/>
    </row>
    <row r="127" spans="2:11" x14ac:dyDescent="0.3">
      <c r="B127" s="230"/>
      <c r="C127" s="230"/>
      <c r="D127" s="257"/>
      <c r="E127" s="230"/>
      <c r="F127" s="230"/>
      <c r="G127" s="230"/>
      <c r="H127" s="257"/>
      <c r="I127" s="234"/>
      <c r="J127" s="257">
        <v>2</v>
      </c>
      <c r="K127" s="234"/>
    </row>
    <row r="128" spans="2:11" x14ac:dyDescent="0.3">
      <c r="B128" s="230"/>
      <c r="C128" s="230"/>
      <c r="D128" s="257"/>
      <c r="E128" s="230"/>
      <c r="F128" s="230"/>
      <c r="G128" s="230"/>
      <c r="H128" s="257"/>
      <c r="I128" s="234"/>
      <c r="J128" s="257">
        <v>3</v>
      </c>
      <c r="K128" s="234"/>
    </row>
    <row r="129" spans="2:11" x14ac:dyDescent="0.3">
      <c r="B129" s="230"/>
      <c r="C129" s="230"/>
      <c r="D129" s="257"/>
      <c r="E129" s="230"/>
      <c r="F129" s="230"/>
      <c r="G129" s="230"/>
      <c r="H129" s="257"/>
      <c r="I129" s="234"/>
      <c r="J129" s="257">
        <v>4</v>
      </c>
      <c r="K129" s="234"/>
    </row>
    <row r="130" spans="2:11" x14ac:dyDescent="0.3">
      <c r="B130" s="230"/>
      <c r="C130" s="230"/>
      <c r="D130" s="257"/>
      <c r="E130" s="230"/>
      <c r="F130" s="230"/>
      <c r="G130" s="230"/>
      <c r="H130" s="257"/>
      <c r="I130" s="234"/>
      <c r="J130" s="257">
        <v>5</v>
      </c>
      <c r="K130" s="234"/>
    </row>
    <row r="131" spans="2:11" x14ac:dyDescent="0.3">
      <c r="B131" s="230"/>
      <c r="C131" s="230"/>
      <c r="D131" s="257"/>
      <c r="E131" s="230"/>
      <c r="F131" s="230"/>
      <c r="G131" s="230"/>
      <c r="H131" s="257"/>
      <c r="I131" s="234"/>
      <c r="J131" s="257">
        <v>6</v>
      </c>
      <c r="K131" s="234"/>
    </row>
    <row r="132" spans="2:11" x14ac:dyDescent="0.3">
      <c r="B132" s="230"/>
      <c r="C132" s="230"/>
      <c r="D132" s="257"/>
      <c r="E132" s="230"/>
      <c r="F132" s="230"/>
      <c r="G132" s="230"/>
      <c r="H132" s="257"/>
      <c r="I132" s="234"/>
      <c r="J132" s="257">
        <v>7</v>
      </c>
      <c r="K132" s="234"/>
    </row>
    <row r="133" spans="2:11" x14ac:dyDescent="0.3">
      <c r="B133" s="230"/>
      <c r="C133" s="230"/>
      <c r="D133" s="257"/>
      <c r="E133" s="230"/>
      <c r="F133" s="230"/>
      <c r="G133" s="230"/>
      <c r="H133" s="257"/>
      <c r="I133" s="234"/>
      <c r="J133" s="257">
        <v>8</v>
      </c>
      <c r="K133" s="234"/>
    </row>
    <row r="134" spans="2:11" x14ac:dyDescent="0.3">
      <c r="B134" s="230"/>
      <c r="C134" s="230"/>
      <c r="D134" s="257"/>
      <c r="E134" s="230"/>
      <c r="F134" s="230"/>
      <c r="G134" s="230"/>
      <c r="H134" s="257"/>
      <c r="I134" s="234"/>
      <c r="J134" s="257">
        <v>9</v>
      </c>
      <c r="K134" s="234"/>
    </row>
    <row r="135" spans="2:11" ht="14.5" thickBot="1" x14ac:dyDescent="0.35">
      <c r="B135" s="230"/>
      <c r="C135" s="230"/>
      <c r="D135" s="257"/>
      <c r="E135" s="230"/>
      <c r="F135" s="230"/>
      <c r="G135" s="230"/>
      <c r="H135" s="257"/>
      <c r="I135" s="234"/>
      <c r="J135" s="257">
        <v>10</v>
      </c>
      <c r="K135" s="234"/>
    </row>
    <row r="136" spans="2:11" ht="25" customHeight="1" thickTop="1" x14ac:dyDescent="0.3">
      <c r="B136" s="552" t="s">
        <v>1255</v>
      </c>
      <c r="C136" s="552" t="s">
        <v>1256</v>
      </c>
      <c r="D136" s="224" t="s">
        <v>124</v>
      </c>
      <c r="E136" s="224" t="s">
        <v>122</v>
      </c>
      <c r="F136" s="224" t="s">
        <v>16</v>
      </c>
      <c r="G136" s="224" t="s">
        <v>1270</v>
      </c>
      <c r="H136" s="224" t="s">
        <v>224</v>
      </c>
      <c r="I136" s="270"/>
      <c r="J136" s="270"/>
      <c r="K136" s="228"/>
    </row>
    <row r="137" spans="2:11" ht="25" customHeight="1" thickBot="1" x14ac:dyDescent="0.35">
      <c r="B137" s="553"/>
      <c r="C137" s="553"/>
      <c r="D137" s="271" t="s">
        <v>140</v>
      </c>
      <c r="E137" s="252"/>
      <c r="F137" s="230"/>
      <c r="G137" s="252"/>
      <c r="H137" s="230"/>
      <c r="I137" s="252"/>
      <c r="J137" s="252"/>
      <c r="K137" s="234"/>
    </row>
    <row r="138" spans="2:11" ht="25" customHeight="1" thickTop="1" x14ac:dyDescent="0.3">
      <c r="B138" s="552" t="s">
        <v>1251</v>
      </c>
      <c r="C138" s="552" t="s">
        <v>476</v>
      </c>
      <c r="D138" s="552" t="s">
        <v>141</v>
      </c>
      <c r="E138" s="552" t="s">
        <v>129</v>
      </c>
      <c r="F138" s="552" t="s">
        <v>13</v>
      </c>
      <c r="G138" s="552" t="s">
        <v>1271</v>
      </c>
      <c r="H138" s="569" t="s">
        <v>212</v>
      </c>
      <c r="I138" s="228" t="s">
        <v>130</v>
      </c>
      <c r="J138" s="266" t="s">
        <v>125</v>
      </c>
      <c r="K138" s="228"/>
    </row>
    <row r="139" spans="2:11" ht="25" customHeight="1" x14ac:dyDescent="0.3">
      <c r="B139" s="553"/>
      <c r="C139" s="553"/>
      <c r="D139" s="553"/>
      <c r="E139" s="553"/>
      <c r="F139" s="553"/>
      <c r="G139" s="553"/>
      <c r="H139" s="570"/>
      <c r="I139" s="234" t="s">
        <v>126</v>
      </c>
      <c r="J139" s="234" t="s">
        <v>292</v>
      </c>
      <c r="K139" s="234"/>
    </row>
    <row r="140" spans="2:11" x14ac:dyDescent="0.3">
      <c r="B140" s="234"/>
      <c r="C140" s="234"/>
      <c r="D140" s="257"/>
      <c r="E140" s="234"/>
      <c r="F140" s="234"/>
      <c r="G140" s="234"/>
      <c r="H140" s="257"/>
      <c r="I140" s="234"/>
      <c r="J140" s="234" t="s">
        <v>293</v>
      </c>
      <c r="K140" s="234"/>
    </row>
    <row r="141" spans="2:11" x14ac:dyDescent="0.3">
      <c r="B141" s="234"/>
      <c r="C141" s="234"/>
      <c r="D141" s="257"/>
      <c r="E141" s="234"/>
      <c r="F141" s="234"/>
      <c r="G141" s="234"/>
      <c r="H141" s="257"/>
      <c r="I141" s="234"/>
      <c r="J141" s="234" t="s">
        <v>294</v>
      </c>
      <c r="K141" s="234"/>
    </row>
    <row r="142" spans="2:11" x14ac:dyDescent="0.3">
      <c r="B142" s="234"/>
      <c r="C142" s="234"/>
      <c r="D142" s="257"/>
      <c r="E142" s="234"/>
      <c r="F142" s="234"/>
      <c r="G142" s="234"/>
      <c r="H142" s="257"/>
      <c r="I142" s="234"/>
      <c r="J142" s="258" t="s">
        <v>128</v>
      </c>
      <c r="K142" s="234"/>
    </row>
    <row r="143" spans="2:11" x14ac:dyDescent="0.3">
      <c r="B143" s="234"/>
      <c r="C143" s="234"/>
      <c r="D143" s="257"/>
      <c r="E143" s="234"/>
      <c r="F143" s="234"/>
      <c r="G143" s="234"/>
      <c r="H143" s="257"/>
      <c r="I143" s="234"/>
      <c r="J143" s="234" t="s">
        <v>295</v>
      </c>
      <c r="K143" s="234"/>
    </row>
    <row r="144" spans="2:11" x14ac:dyDescent="0.3">
      <c r="B144" s="234"/>
      <c r="C144" s="234"/>
      <c r="D144" s="257"/>
      <c r="E144" s="234"/>
      <c r="F144" s="234"/>
      <c r="G144" s="234"/>
      <c r="H144" s="257"/>
      <c r="I144" s="234"/>
      <c r="J144" s="234" t="s">
        <v>215</v>
      </c>
      <c r="K144" s="234"/>
    </row>
    <row r="145" spans="2:11" ht="14.5" thickBot="1" x14ac:dyDescent="0.35">
      <c r="B145" s="262"/>
      <c r="C145" s="262"/>
      <c r="D145" s="263"/>
      <c r="E145" s="262"/>
      <c r="F145" s="262"/>
      <c r="G145" s="262"/>
      <c r="H145" s="263"/>
      <c r="I145" s="262"/>
      <c r="J145" s="262" t="s">
        <v>297</v>
      </c>
      <c r="K145" s="262"/>
    </row>
    <row r="146" spans="2:11" ht="14.5" thickTop="1" x14ac:dyDescent="0.3">
      <c r="B146" s="552" t="s">
        <v>1246</v>
      </c>
      <c r="C146" s="552" t="s">
        <v>1242</v>
      </c>
      <c r="D146" s="552" t="s">
        <v>17</v>
      </c>
      <c r="E146" s="552" t="s">
        <v>19</v>
      </c>
      <c r="F146" s="552" t="s">
        <v>20</v>
      </c>
      <c r="G146" s="552" t="s">
        <v>1272</v>
      </c>
      <c r="H146" s="552" t="s">
        <v>213</v>
      </c>
      <c r="I146" s="265" t="s">
        <v>125</v>
      </c>
      <c r="J146" s="552" t="s">
        <v>11</v>
      </c>
      <c r="K146" s="228"/>
    </row>
    <row r="147" spans="2:11" x14ac:dyDescent="0.3">
      <c r="B147" s="553"/>
      <c r="C147" s="553"/>
      <c r="D147" s="553"/>
      <c r="E147" s="553"/>
      <c r="F147" s="553"/>
      <c r="G147" s="553"/>
      <c r="H147" s="553"/>
      <c r="I147" s="234" t="s">
        <v>126</v>
      </c>
      <c r="J147" s="553"/>
      <c r="K147" s="234"/>
    </row>
    <row r="148" spans="2:11" ht="14.5" thickBot="1" x14ac:dyDescent="0.35">
      <c r="B148" s="553"/>
      <c r="C148" s="553"/>
      <c r="D148" s="553"/>
      <c r="E148" s="559"/>
      <c r="F148" s="559"/>
      <c r="G148" s="559"/>
      <c r="H148" s="559"/>
      <c r="I148" s="262" t="s">
        <v>127</v>
      </c>
      <c r="J148" s="559"/>
      <c r="K148" s="262"/>
    </row>
    <row r="149" spans="2:11" ht="28.5" thickTop="1" x14ac:dyDescent="0.3">
      <c r="B149" s="553"/>
      <c r="C149" s="553"/>
      <c r="D149" s="553"/>
      <c r="E149" s="552" t="s">
        <v>18</v>
      </c>
      <c r="F149" s="552" t="s">
        <v>21</v>
      </c>
      <c r="G149" s="552" t="s">
        <v>1273</v>
      </c>
      <c r="H149" s="566" t="s">
        <v>214</v>
      </c>
      <c r="I149" s="274" t="s">
        <v>131</v>
      </c>
      <c r="J149" s="552" t="s">
        <v>11</v>
      </c>
      <c r="K149" s="228"/>
    </row>
    <row r="150" spans="2:11" x14ac:dyDescent="0.3">
      <c r="B150" s="553"/>
      <c r="C150" s="553"/>
      <c r="D150" s="553"/>
      <c r="E150" s="553"/>
      <c r="F150" s="553"/>
      <c r="G150" s="553"/>
      <c r="H150" s="567"/>
      <c r="I150" s="234" t="s">
        <v>132</v>
      </c>
      <c r="J150" s="553"/>
      <c r="K150" s="234"/>
    </row>
    <row r="151" spans="2:11" ht="14.5" thickBot="1" x14ac:dyDescent="0.35">
      <c r="B151" s="553"/>
      <c r="C151" s="553"/>
      <c r="D151" s="553"/>
      <c r="E151" s="559"/>
      <c r="F151" s="559"/>
      <c r="G151" s="559"/>
      <c r="H151" s="568"/>
      <c r="I151" s="262" t="s">
        <v>133</v>
      </c>
      <c r="J151" s="559"/>
      <c r="K151" s="262"/>
    </row>
    <row r="152" spans="2:11" ht="48" customHeight="1" thickTop="1" thickBot="1" x14ac:dyDescent="0.35">
      <c r="B152" s="559"/>
      <c r="C152" s="559"/>
      <c r="D152" s="559"/>
      <c r="E152" s="275" t="s">
        <v>59</v>
      </c>
      <c r="F152" s="275" t="s">
        <v>60</v>
      </c>
      <c r="G152" s="275" t="s">
        <v>1274</v>
      </c>
      <c r="H152" s="276" t="s">
        <v>214</v>
      </c>
      <c r="I152" s="277" t="s">
        <v>14</v>
      </c>
      <c r="J152" s="275" t="s">
        <v>179</v>
      </c>
      <c r="K152" s="277"/>
    </row>
    <row r="153" spans="2:11" ht="28.5" thickTop="1" x14ac:dyDescent="0.3">
      <c r="B153" s="552" t="s">
        <v>1252</v>
      </c>
      <c r="C153" s="552" t="s">
        <v>99</v>
      </c>
      <c r="D153" s="552" t="s">
        <v>143</v>
      </c>
      <c r="E153" s="552" t="s">
        <v>57</v>
      </c>
      <c r="F153" s="552" t="s">
        <v>58</v>
      </c>
      <c r="G153" s="552" t="s">
        <v>1275</v>
      </c>
      <c r="H153" s="566" t="s">
        <v>214</v>
      </c>
      <c r="I153" s="274" t="s">
        <v>144</v>
      </c>
      <c r="J153" s="552" t="s">
        <v>11</v>
      </c>
      <c r="K153" s="228"/>
    </row>
    <row r="154" spans="2:11" x14ac:dyDescent="0.3">
      <c r="B154" s="553"/>
      <c r="C154" s="553"/>
      <c r="D154" s="553"/>
      <c r="E154" s="553"/>
      <c r="F154" s="553"/>
      <c r="G154" s="553"/>
      <c r="H154" s="567"/>
      <c r="I154" s="234" t="s">
        <v>145</v>
      </c>
      <c r="J154" s="553"/>
      <c r="K154" s="234"/>
    </row>
    <row r="155" spans="2:11" x14ac:dyDescent="0.3">
      <c r="B155" s="553"/>
      <c r="C155" s="553"/>
      <c r="D155" s="553"/>
      <c r="E155" s="553"/>
      <c r="F155" s="553"/>
      <c r="G155" s="553"/>
      <c r="H155" s="567"/>
      <c r="I155" s="234" t="s">
        <v>146</v>
      </c>
      <c r="J155" s="553"/>
      <c r="K155" s="234"/>
    </row>
    <row r="156" spans="2:11" ht="14.5" thickBot="1" x14ac:dyDescent="0.35">
      <c r="B156" s="559"/>
      <c r="C156" s="559"/>
      <c r="D156" s="559"/>
      <c r="E156" s="559"/>
      <c r="F156" s="559"/>
      <c r="G156" s="559"/>
      <c r="H156" s="568"/>
      <c r="I156" s="262" t="s">
        <v>147</v>
      </c>
      <c r="J156" s="559"/>
      <c r="K156" s="262"/>
    </row>
    <row r="157" spans="2:11" ht="37" customHeight="1" thickTop="1" thickBot="1" x14ac:dyDescent="0.35">
      <c r="B157" s="278" t="s">
        <v>148</v>
      </c>
      <c r="C157" s="275" t="s">
        <v>468</v>
      </c>
      <c r="D157" s="275" t="s">
        <v>149</v>
      </c>
      <c r="E157" s="275" t="s">
        <v>150</v>
      </c>
      <c r="F157" s="275" t="s">
        <v>151</v>
      </c>
      <c r="G157" s="275" t="s">
        <v>1276</v>
      </c>
      <c r="H157" s="276" t="s">
        <v>214</v>
      </c>
      <c r="I157" s="279" t="s">
        <v>14</v>
      </c>
      <c r="J157" s="275" t="s">
        <v>179</v>
      </c>
      <c r="K157" s="277"/>
    </row>
    <row r="158" spans="2:11" ht="14.5" thickTop="1" x14ac:dyDescent="0.3">
      <c r="B158" s="566" t="s">
        <v>1258</v>
      </c>
      <c r="C158" s="552" t="s">
        <v>24</v>
      </c>
      <c r="D158" s="566" t="s">
        <v>313</v>
      </c>
      <c r="E158" s="566" t="s">
        <v>152</v>
      </c>
      <c r="F158" s="552" t="s">
        <v>25</v>
      </c>
      <c r="G158" s="552" t="s">
        <v>1277</v>
      </c>
      <c r="H158" s="272" t="s">
        <v>1170</v>
      </c>
      <c r="I158" s="560" t="s">
        <v>14</v>
      </c>
      <c r="J158" s="552" t="s">
        <v>179</v>
      </c>
      <c r="K158" s="228"/>
    </row>
    <row r="159" spans="2:11" x14ac:dyDescent="0.3">
      <c r="B159" s="567"/>
      <c r="C159" s="553"/>
      <c r="D159" s="567"/>
      <c r="E159" s="567"/>
      <c r="F159" s="553"/>
      <c r="G159" s="553"/>
      <c r="H159" s="273" t="s">
        <v>1171</v>
      </c>
      <c r="I159" s="561"/>
      <c r="J159" s="553"/>
      <c r="K159" s="234"/>
    </row>
    <row r="160" spans="2:11" x14ac:dyDescent="0.3">
      <c r="B160" s="567"/>
      <c r="C160" s="553"/>
      <c r="D160" s="567"/>
      <c r="E160" s="567"/>
      <c r="F160" s="553"/>
      <c r="G160" s="553"/>
      <c r="H160" s="273" t="s">
        <v>1172</v>
      </c>
      <c r="I160" s="561"/>
      <c r="J160" s="553"/>
      <c r="K160" s="234"/>
    </row>
    <row r="161" spans="1:11" ht="28.5" thickBot="1" x14ac:dyDescent="0.35">
      <c r="B161" s="568"/>
      <c r="C161" s="559"/>
      <c r="D161" s="568"/>
      <c r="E161" s="568"/>
      <c r="F161" s="559"/>
      <c r="G161" s="559"/>
      <c r="H161" s="222" t="s">
        <v>1173</v>
      </c>
      <c r="I161" s="562"/>
      <c r="J161" s="559"/>
      <c r="K161" s="262"/>
    </row>
    <row r="162" spans="1:11" ht="25.5" customHeight="1" thickTop="1" thickBot="1" x14ac:dyDescent="0.35">
      <c r="B162" s="572"/>
      <c r="C162" s="572"/>
      <c r="D162" s="572"/>
      <c r="E162" s="275"/>
      <c r="F162" s="275"/>
      <c r="G162" s="280"/>
      <c r="H162" s="280"/>
      <c r="I162" s="281"/>
      <c r="J162" s="275"/>
      <c r="K162" s="280"/>
    </row>
    <row r="163" spans="1:11" ht="31" customHeight="1" thickTop="1" thickBot="1" x14ac:dyDescent="0.35">
      <c r="B163" s="572"/>
      <c r="C163" s="572"/>
      <c r="D163" s="572"/>
      <c r="E163" s="275"/>
      <c r="F163" s="275"/>
      <c r="G163" s="280"/>
      <c r="H163" s="280"/>
      <c r="I163" s="281"/>
      <c r="J163" s="275"/>
      <c r="K163" s="280"/>
    </row>
    <row r="164" spans="1:11" s="282" customFormat="1" ht="31.5" customHeight="1" thickTop="1" thickBot="1" x14ac:dyDescent="0.4">
      <c r="B164" s="572" t="s">
        <v>1259</v>
      </c>
      <c r="C164" s="572" t="s">
        <v>155</v>
      </c>
      <c r="D164" s="275" t="s">
        <v>154</v>
      </c>
      <c r="E164" s="275" t="s">
        <v>62</v>
      </c>
      <c r="F164" s="275" t="s">
        <v>100</v>
      </c>
      <c r="G164" s="275" t="s">
        <v>1278</v>
      </c>
      <c r="H164" s="275" t="s">
        <v>11</v>
      </c>
      <c r="I164" s="283" t="s">
        <v>14</v>
      </c>
      <c r="J164" s="275" t="s">
        <v>179</v>
      </c>
      <c r="K164" s="283"/>
    </row>
    <row r="165" spans="1:11" s="282" customFormat="1" ht="29.5" customHeight="1" thickTop="1" thickBot="1" x14ac:dyDescent="0.4">
      <c r="B165" s="572"/>
      <c r="C165" s="572"/>
      <c r="D165" s="552" t="s">
        <v>156</v>
      </c>
      <c r="E165" s="275" t="s">
        <v>157</v>
      </c>
      <c r="F165" s="275" t="s">
        <v>23</v>
      </c>
      <c r="G165" s="275" t="s">
        <v>1279</v>
      </c>
      <c r="H165" s="275" t="s">
        <v>174</v>
      </c>
      <c r="I165" s="283" t="s">
        <v>14</v>
      </c>
      <c r="J165" s="275" t="s">
        <v>179</v>
      </c>
      <c r="K165" s="283"/>
    </row>
    <row r="166" spans="1:11" s="282" customFormat="1" ht="29.5" customHeight="1" thickTop="1" thickBot="1" x14ac:dyDescent="0.4">
      <c r="B166" s="572"/>
      <c r="C166" s="572"/>
      <c r="D166" s="553"/>
      <c r="E166" s="275" t="s">
        <v>243</v>
      </c>
      <c r="F166" s="275" t="s">
        <v>1284</v>
      </c>
      <c r="G166" s="275" t="s">
        <v>1285</v>
      </c>
      <c r="H166" s="275" t="s">
        <v>174</v>
      </c>
      <c r="I166" s="283" t="s">
        <v>14</v>
      </c>
      <c r="J166" s="275" t="s">
        <v>179</v>
      </c>
      <c r="K166" s="283"/>
    </row>
    <row r="167" spans="1:11" s="282" customFormat="1" ht="31.5" customHeight="1" thickTop="1" thickBot="1" x14ac:dyDescent="0.4">
      <c r="B167" s="572"/>
      <c r="C167" s="572"/>
      <c r="D167" s="559"/>
      <c r="E167" s="275" t="s">
        <v>314</v>
      </c>
      <c r="F167" s="275" t="s">
        <v>158</v>
      </c>
      <c r="G167" s="275" t="s">
        <v>1280</v>
      </c>
      <c r="H167" s="278" t="s">
        <v>174</v>
      </c>
      <c r="I167" s="283" t="s">
        <v>14</v>
      </c>
      <c r="J167" s="275" t="s">
        <v>179</v>
      </c>
      <c r="K167" s="283"/>
    </row>
    <row r="168" spans="1:11" s="282" customFormat="1" ht="37.5" customHeight="1" thickTop="1" thickBot="1" x14ac:dyDescent="0.4">
      <c r="B168" s="571" t="s">
        <v>159</v>
      </c>
      <c r="C168" s="572" t="s">
        <v>160</v>
      </c>
      <c r="D168" s="572" t="s">
        <v>161</v>
      </c>
      <c r="E168" s="552" t="s">
        <v>162</v>
      </c>
      <c r="F168" s="552" t="s">
        <v>29</v>
      </c>
      <c r="G168" s="552" t="s">
        <v>1281</v>
      </c>
      <c r="H168" s="224" t="s">
        <v>820</v>
      </c>
      <c r="I168" s="563" t="s">
        <v>14</v>
      </c>
      <c r="J168" s="275" t="s">
        <v>179</v>
      </c>
      <c r="K168" s="283"/>
    </row>
    <row r="169" spans="1:11" s="282" customFormat="1" ht="29" customHeight="1" thickTop="1" thickBot="1" x14ac:dyDescent="0.4">
      <c r="B169" s="571"/>
      <c r="C169" s="572"/>
      <c r="D169" s="572"/>
      <c r="E169" s="553"/>
      <c r="F169" s="553"/>
      <c r="G169" s="553"/>
      <c r="H169" s="230" t="s">
        <v>11</v>
      </c>
      <c r="I169" s="564"/>
      <c r="J169" s="275" t="s">
        <v>179</v>
      </c>
      <c r="K169" s="283"/>
    </row>
    <row r="170" spans="1:11" s="282" customFormat="1" ht="24.5" customHeight="1" thickTop="1" thickBot="1" x14ac:dyDescent="0.4">
      <c r="B170" s="571"/>
      <c r="C170" s="572"/>
      <c r="D170" s="572"/>
      <c r="E170" s="559"/>
      <c r="F170" s="559"/>
      <c r="G170" s="559"/>
      <c r="H170" s="271" t="s">
        <v>10</v>
      </c>
      <c r="I170" s="565"/>
      <c r="J170" s="275" t="s">
        <v>179</v>
      </c>
      <c r="K170" s="283"/>
    </row>
    <row r="171" spans="1:11" s="282" customFormat="1" ht="32" customHeight="1" thickTop="1" thickBot="1" x14ac:dyDescent="0.4">
      <c r="B171" s="571"/>
      <c r="C171" s="572"/>
      <c r="D171" s="572"/>
      <c r="E171" s="275" t="s">
        <v>163</v>
      </c>
      <c r="F171" s="275" t="s">
        <v>27</v>
      </c>
      <c r="G171" s="275" t="s">
        <v>1282</v>
      </c>
      <c r="H171" s="275" t="s">
        <v>11</v>
      </c>
      <c r="I171" s="283" t="s">
        <v>14</v>
      </c>
      <c r="J171" s="275" t="s">
        <v>179</v>
      </c>
      <c r="K171" s="283"/>
    </row>
    <row r="172" spans="1:11" s="282" customFormat="1" ht="41" customHeight="1" thickTop="1" thickBot="1" x14ac:dyDescent="0.4">
      <c r="B172" s="571"/>
      <c r="C172" s="572"/>
      <c r="D172" s="572"/>
      <c r="E172" s="275" t="s">
        <v>315</v>
      </c>
      <c r="F172" s="275" t="s">
        <v>26</v>
      </c>
      <c r="G172" s="275" t="s">
        <v>1283</v>
      </c>
      <c r="H172" s="275" t="s">
        <v>11</v>
      </c>
      <c r="I172" s="283" t="s">
        <v>14</v>
      </c>
      <c r="J172" s="275" t="s">
        <v>179</v>
      </c>
      <c r="K172" s="283"/>
    </row>
    <row r="173" spans="1:11" s="144" customFormat="1" ht="25" customHeight="1" thickTop="1" x14ac:dyDescent="0.35">
      <c r="A173" s="284"/>
      <c r="B173" s="285" t="s">
        <v>1708</v>
      </c>
    </row>
  </sheetData>
  <mergeCells count="148">
    <mergeCell ref="K2:K3"/>
    <mergeCell ref="B2:B3"/>
    <mergeCell ref="D2:D3"/>
    <mergeCell ref="E2:E3"/>
    <mergeCell ref="F2:F3"/>
    <mergeCell ref="H2:H3"/>
    <mergeCell ref="C2:C3"/>
    <mergeCell ref="B74:B75"/>
    <mergeCell ref="C74:C75"/>
    <mergeCell ref="B22:B25"/>
    <mergeCell ref="C22:C25"/>
    <mergeCell ref="E22:E25"/>
    <mergeCell ref="F22:F25"/>
    <mergeCell ref="G22:G25"/>
    <mergeCell ref="I2:I3"/>
    <mergeCell ref="J2:J3"/>
    <mergeCell ref="B9:B13"/>
    <mergeCell ref="E9:E13"/>
    <mergeCell ref="F9:F13"/>
    <mergeCell ref="G9:G13"/>
    <mergeCell ref="B14:B16"/>
    <mergeCell ref="C9:C13"/>
    <mergeCell ref="C14:C16"/>
    <mergeCell ref="E14:E16"/>
    <mergeCell ref="F14:F16"/>
    <mergeCell ref="B71:B73"/>
    <mergeCell ref="C71:C73"/>
    <mergeCell ref="E71:E73"/>
    <mergeCell ref="F71:F73"/>
    <mergeCell ref="G71:G73"/>
    <mergeCell ref="G14:G16"/>
    <mergeCell ref="B43:B45"/>
    <mergeCell ref="C43:C45"/>
    <mergeCell ref="E43:E45"/>
    <mergeCell ref="F43:F45"/>
    <mergeCell ref="B52:B53"/>
    <mergeCell ref="C52:C53"/>
    <mergeCell ref="E52:E53"/>
    <mergeCell ref="F52:F53"/>
    <mergeCell ref="G52:G53"/>
    <mergeCell ref="B48:B49"/>
    <mergeCell ref="B17:B18"/>
    <mergeCell ref="C48:C49"/>
    <mergeCell ref="C17:C18"/>
    <mergeCell ref="E48:E49"/>
    <mergeCell ref="D17:D18"/>
    <mergeCell ref="G19:G20"/>
    <mergeCell ref="B26:B27"/>
    <mergeCell ref="C26:C27"/>
    <mergeCell ref="E26:E27"/>
    <mergeCell ref="F26:F27"/>
    <mergeCell ref="G43:G45"/>
    <mergeCell ref="B31:B32"/>
    <mergeCell ref="C31:C32"/>
    <mergeCell ref="E31:E32"/>
    <mergeCell ref="F31:F32"/>
    <mergeCell ref="G31:G32"/>
    <mergeCell ref="G124:G126"/>
    <mergeCell ref="E107:E109"/>
    <mergeCell ref="F107:F109"/>
    <mergeCell ref="G26:G27"/>
    <mergeCell ref="E17:E18"/>
    <mergeCell ref="F48:F49"/>
    <mergeCell ref="F17:F18"/>
    <mergeCell ref="G48:G49"/>
    <mergeCell ref="G17:G18"/>
    <mergeCell ref="E74:E75"/>
    <mergeCell ref="F74:F75"/>
    <mergeCell ref="G74:G75"/>
    <mergeCell ref="B153:B156"/>
    <mergeCell ref="C153:C156"/>
    <mergeCell ref="D153:D156"/>
    <mergeCell ref="E153:E156"/>
    <mergeCell ref="F153:F156"/>
    <mergeCell ref="B158:B161"/>
    <mergeCell ref="D158:D161"/>
    <mergeCell ref="E158:E161"/>
    <mergeCell ref="F158:F161"/>
    <mergeCell ref="C158:C161"/>
    <mergeCell ref="B168:B172"/>
    <mergeCell ref="C168:C172"/>
    <mergeCell ref="D168:D172"/>
    <mergeCell ref="B162:B163"/>
    <mergeCell ref="C162:C163"/>
    <mergeCell ref="D162:D163"/>
    <mergeCell ref="B164:B167"/>
    <mergeCell ref="C164:C167"/>
    <mergeCell ref="D165:D167"/>
    <mergeCell ref="H107:H109"/>
    <mergeCell ref="H138:H139"/>
    <mergeCell ref="H146:H148"/>
    <mergeCell ref="H149:H151"/>
    <mergeCell ref="E149:E151"/>
    <mergeCell ref="F149:F151"/>
    <mergeCell ref="G149:G151"/>
    <mergeCell ref="B146:B152"/>
    <mergeCell ref="C146:C152"/>
    <mergeCell ref="D146:D152"/>
    <mergeCell ref="E146:E148"/>
    <mergeCell ref="F146:F148"/>
    <mergeCell ref="G146:G148"/>
    <mergeCell ref="B138:B139"/>
    <mergeCell ref="C138:C139"/>
    <mergeCell ref="E138:E139"/>
    <mergeCell ref="F138:F139"/>
    <mergeCell ref="G138:G139"/>
    <mergeCell ref="B136:B137"/>
    <mergeCell ref="C136:C137"/>
    <mergeCell ref="G107:G109"/>
    <mergeCell ref="B107:B109"/>
    <mergeCell ref="C107:C109"/>
    <mergeCell ref="B124:B126"/>
    <mergeCell ref="J146:J148"/>
    <mergeCell ref="J149:J151"/>
    <mergeCell ref="J153:J156"/>
    <mergeCell ref="J158:J161"/>
    <mergeCell ref="I158:I161"/>
    <mergeCell ref="E168:E170"/>
    <mergeCell ref="F168:F170"/>
    <mergeCell ref="G168:G170"/>
    <mergeCell ref="I168:I170"/>
    <mergeCell ref="H153:H156"/>
    <mergeCell ref="G153:G156"/>
    <mergeCell ref="G158:G161"/>
    <mergeCell ref="D138:D139"/>
    <mergeCell ref="C34:C41"/>
    <mergeCell ref="E34:E41"/>
    <mergeCell ref="F34:F41"/>
    <mergeCell ref="G34:G41"/>
    <mergeCell ref="B34:B41"/>
    <mergeCell ref="B4:B6"/>
    <mergeCell ref="C4:C6"/>
    <mergeCell ref="E4:E6"/>
    <mergeCell ref="F4:F6"/>
    <mergeCell ref="G4:G6"/>
    <mergeCell ref="B7:B8"/>
    <mergeCell ref="C7:C8"/>
    <mergeCell ref="E7:E8"/>
    <mergeCell ref="F7:F8"/>
    <mergeCell ref="G7:G8"/>
    <mergeCell ref="B19:B20"/>
    <mergeCell ref="C19:C20"/>
    <mergeCell ref="D19:D20"/>
    <mergeCell ref="E19:E20"/>
    <mergeCell ref="F19:F20"/>
    <mergeCell ref="C124:C126"/>
    <mergeCell ref="E124:E126"/>
    <mergeCell ref="F124:F126"/>
  </mergeCells>
  <pageMargins left="0.7" right="0.7" top="0.75" bottom="0.75" header="0.3" footer="0.3"/>
  <pageSetup orientation="portrait" horizontalDpi="4294967293" verticalDpi="0" r:id="rId1"/>
  <headerFooter>
    <oddFooter>&amp;C_x000D_&amp;1#&amp;"Calibri"&amp;8&amp;K000000 INTERNAL. This information is accessible to ADB Management and staff. It may be shared outside ADB with appropriate permission.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5D0FF-733C-4560-AD6A-DA3B0C9CC8FF}">
  <dimension ref="A1:FQ51"/>
  <sheetViews>
    <sheetView topLeftCell="AJ30" workbookViewId="0">
      <selection activeCell="AM50" sqref="AM50"/>
    </sheetView>
  </sheetViews>
  <sheetFormatPr defaultColWidth="8.81640625" defaultRowHeight="14" x14ac:dyDescent="0.3"/>
  <cols>
    <col min="1" max="71" width="35.6328125" style="91" customWidth="1"/>
    <col min="72" max="73" width="35.6328125" style="290" customWidth="1"/>
    <col min="74" max="74" width="17" style="91" customWidth="1"/>
    <col min="75" max="76" width="8.81640625" style="91"/>
    <col min="77" max="77" width="16.08984375" style="91" customWidth="1"/>
    <col min="78" max="85" width="8.81640625" style="91" bestFit="1" customWidth="1"/>
    <col min="86" max="86" width="12.08984375" style="91" customWidth="1"/>
    <col min="87" max="87" width="10.90625" style="91" customWidth="1"/>
    <col min="88" max="88" width="11.81640625" style="91" customWidth="1"/>
    <col min="89" max="89" width="11" style="91" customWidth="1"/>
    <col min="90" max="90" width="11.453125" style="91" customWidth="1"/>
    <col min="91" max="91" width="12.6328125" style="91" bestFit="1" customWidth="1"/>
    <col min="92" max="92" width="11.1796875" style="91" bestFit="1" customWidth="1"/>
    <col min="93" max="93" width="9.1796875" style="91" bestFit="1" customWidth="1"/>
    <col min="94" max="94" width="10.453125" style="91" customWidth="1"/>
    <col min="95" max="95" width="11.1796875" style="91" bestFit="1" customWidth="1"/>
    <col min="96" max="101" width="12.1796875" style="91" customWidth="1"/>
    <col min="102" max="102" width="11.90625" style="91" customWidth="1"/>
    <col min="103" max="103" width="10.6328125" style="91" customWidth="1"/>
    <col min="104" max="104" width="9.1796875" style="91" bestFit="1" customWidth="1"/>
    <col min="105" max="105" width="10.81640625" style="91" customWidth="1"/>
    <col min="106" max="106" width="8.81640625" style="91" bestFit="1" customWidth="1"/>
    <col min="107" max="107" width="12" style="91" customWidth="1"/>
    <col min="108" max="108" width="16.36328125" style="91" customWidth="1"/>
    <col min="109" max="109" width="13" style="91" customWidth="1"/>
    <col min="110" max="113" width="10.6328125" style="91" customWidth="1"/>
    <col min="114" max="114" width="10" style="91" customWidth="1"/>
    <col min="115" max="115" width="10.90625" style="91" customWidth="1"/>
    <col min="116" max="116" width="9.1796875" style="91" bestFit="1" customWidth="1"/>
    <col min="117" max="117" width="10.81640625" style="91" customWidth="1"/>
    <col min="118" max="118" width="8.81640625" style="91" bestFit="1" customWidth="1"/>
    <col min="119" max="119" width="11.36328125" style="91" customWidth="1"/>
    <col min="120" max="123" width="10.81640625" style="91" customWidth="1"/>
    <col min="124" max="124" width="8.90625" style="91" bestFit="1" customWidth="1"/>
    <col min="125" max="125" width="9.1796875" style="91" bestFit="1" customWidth="1"/>
    <col min="126" max="127" width="8.90625" style="91" bestFit="1" customWidth="1"/>
    <col min="128" max="129" width="8.81640625" style="91" customWidth="1"/>
    <col min="130" max="130" width="11.36328125" style="91" customWidth="1"/>
    <col min="131" max="135" width="10.08984375" style="91" customWidth="1"/>
    <col min="136" max="138" width="9.1796875" style="91" bestFit="1" customWidth="1"/>
    <col min="139" max="139" width="8.81640625" style="91" bestFit="1" customWidth="1"/>
    <col min="140" max="140" width="11.1796875" style="91" bestFit="1" customWidth="1"/>
    <col min="141" max="151" width="11.08984375" style="91" customWidth="1"/>
    <col min="152" max="155" width="11.54296875" style="91" customWidth="1"/>
    <col min="156" max="156" width="11.81640625" style="91" customWidth="1"/>
    <col min="157" max="158" width="12.1796875" style="91" customWidth="1"/>
    <col min="159" max="169" width="8.81640625" style="91"/>
    <col min="170" max="170" width="8.81640625" style="91" bestFit="1" customWidth="1"/>
    <col min="171" max="16384" width="8.81640625" style="91"/>
  </cols>
  <sheetData>
    <row r="1" spans="1:173" ht="14.5" thickTop="1" x14ac:dyDescent="0.3">
      <c r="A1" s="286" t="s">
        <v>32</v>
      </c>
      <c r="B1" s="287"/>
      <c r="C1" s="288">
        <v>2023</v>
      </c>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row>
    <row r="2" spans="1:173" ht="45" customHeight="1" thickBot="1" x14ac:dyDescent="0.35">
      <c r="A2" s="584" t="s">
        <v>1403</v>
      </c>
      <c r="B2" s="585"/>
      <c r="C2" s="585"/>
      <c r="D2" s="585"/>
      <c r="E2" s="585"/>
      <c r="F2" s="585"/>
      <c r="G2" s="585"/>
      <c r="H2" s="585"/>
      <c r="I2" s="586"/>
      <c r="J2" s="587" t="s">
        <v>298</v>
      </c>
      <c r="K2" s="587"/>
      <c r="L2" s="587"/>
      <c r="M2" s="587"/>
      <c r="N2" s="587"/>
      <c r="O2" s="587"/>
      <c r="P2" s="587"/>
      <c r="Q2" s="587"/>
      <c r="R2" s="587"/>
      <c r="S2" s="587"/>
      <c r="T2" s="587"/>
      <c r="U2" s="587"/>
      <c r="V2" s="587"/>
      <c r="W2" s="587"/>
      <c r="X2" s="587"/>
      <c r="Y2" s="587"/>
      <c r="Z2" s="587"/>
      <c r="AA2" s="587"/>
      <c r="AB2" s="587"/>
      <c r="AC2" s="587"/>
      <c r="AD2" s="587"/>
      <c r="AE2" s="588"/>
      <c r="AF2" s="592" t="s">
        <v>267</v>
      </c>
      <c r="AG2" s="593"/>
      <c r="AH2" s="593"/>
      <c r="AI2" s="593"/>
      <c r="AJ2" s="593"/>
      <c r="AK2" s="593"/>
      <c r="AL2" s="593"/>
      <c r="AM2" s="593"/>
      <c r="AN2" s="593"/>
      <c r="AO2" s="593"/>
      <c r="AP2" s="593"/>
      <c r="AQ2" s="593"/>
      <c r="AR2" s="594"/>
      <c r="AS2" s="595" t="s">
        <v>268</v>
      </c>
      <c r="AT2" s="596"/>
      <c r="AU2" s="596"/>
      <c r="AV2" s="596"/>
      <c r="AW2" s="596"/>
      <c r="AX2" s="596"/>
      <c r="AY2" s="596"/>
      <c r="AZ2" s="596"/>
      <c r="BA2" s="596"/>
      <c r="BB2" s="596"/>
      <c r="BC2" s="596"/>
      <c r="BD2" s="596"/>
      <c r="BE2" s="596"/>
      <c r="BF2" s="596"/>
      <c r="BG2" s="596"/>
      <c r="BH2" s="597" t="s">
        <v>312</v>
      </c>
      <c r="BI2" s="598"/>
      <c r="BJ2" s="598"/>
      <c r="BK2" s="598"/>
      <c r="BL2" s="598"/>
      <c r="BM2" s="598"/>
      <c r="BN2" s="598"/>
      <c r="BO2" s="598"/>
      <c r="BP2" s="598"/>
      <c r="BQ2" s="598"/>
      <c r="BR2" s="598"/>
      <c r="BS2" s="598"/>
      <c r="BT2" s="599"/>
      <c r="BU2" s="291"/>
      <c r="DO2" s="589" t="s">
        <v>828</v>
      </c>
      <c r="DP2" s="589"/>
      <c r="DQ2" s="589"/>
      <c r="DR2" s="589"/>
      <c r="DS2" s="589"/>
      <c r="DT2" s="589"/>
      <c r="DU2" s="589"/>
      <c r="DV2" s="589"/>
      <c r="DW2" s="589"/>
      <c r="DX2" s="589"/>
      <c r="DY2" s="589"/>
      <c r="DZ2" s="589"/>
      <c r="EA2" s="589"/>
      <c r="EB2" s="589"/>
      <c r="EC2" s="589"/>
      <c r="ED2" s="589"/>
      <c r="EE2" s="589"/>
      <c r="EF2" s="589"/>
      <c r="EG2" s="589"/>
      <c r="EH2" s="589"/>
      <c r="EI2" s="589"/>
      <c r="EJ2" s="589"/>
      <c r="EK2" s="93"/>
      <c r="EL2" s="93"/>
      <c r="EM2" s="93"/>
      <c r="EN2" s="93"/>
      <c r="EO2" s="93"/>
      <c r="EP2" s="93"/>
      <c r="EQ2" s="93"/>
      <c r="ER2" s="93"/>
      <c r="ES2" s="93"/>
      <c r="ET2" s="93"/>
      <c r="EU2" s="93"/>
      <c r="EV2" s="590" t="s">
        <v>829</v>
      </c>
      <c r="EW2" s="590"/>
      <c r="EX2" s="590"/>
      <c r="EY2" s="590"/>
      <c r="EZ2" s="590"/>
      <c r="FA2" s="590"/>
      <c r="FB2" s="590"/>
    </row>
    <row r="3" spans="1:173" ht="14.5" thickTop="1" x14ac:dyDescent="0.3">
      <c r="A3" s="293" t="s">
        <v>0</v>
      </c>
      <c r="B3" s="294" t="s">
        <v>34</v>
      </c>
      <c r="C3" s="294" t="s">
        <v>250</v>
      </c>
      <c r="D3" s="294" t="s">
        <v>251</v>
      </c>
      <c r="E3" s="294" t="s">
        <v>1</v>
      </c>
      <c r="F3" s="294" t="s">
        <v>2</v>
      </c>
      <c r="G3" s="294" t="s">
        <v>252</v>
      </c>
      <c r="H3" s="294" t="s">
        <v>30</v>
      </c>
      <c r="I3" s="294" t="s">
        <v>31</v>
      </c>
      <c r="J3" s="600" t="s">
        <v>253</v>
      </c>
      <c r="K3" s="601"/>
      <c r="L3" s="601"/>
      <c r="M3" s="601"/>
      <c r="N3" s="601"/>
      <c r="O3" s="601"/>
      <c r="P3" s="601"/>
      <c r="Q3" s="601"/>
      <c r="R3" s="601"/>
      <c r="S3" s="602"/>
      <c r="T3" s="600" t="s">
        <v>254</v>
      </c>
      <c r="U3" s="601"/>
      <c r="V3" s="601"/>
      <c r="W3" s="601"/>
      <c r="X3" s="601"/>
      <c r="Y3" s="601"/>
      <c r="Z3" s="601"/>
      <c r="AA3" s="601"/>
      <c r="AB3" s="601"/>
      <c r="AC3" s="602"/>
      <c r="AD3" s="600" t="s">
        <v>255</v>
      </c>
      <c r="AE3" s="602"/>
      <c r="AF3" s="294" t="s">
        <v>259</v>
      </c>
      <c r="AG3" s="603" t="s">
        <v>38</v>
      </c>
      <c r="AH3" s="604"/>
      <c r="AI3" s="603" t="s">
        <v>261</v>
      </c>
      <c r="AJ3" s="591"/>
      <c r="AK3" s="296"/>
      <c r="AL3" s="296"/>
      <c r="AM3" s="591" t="s">
        <v>262</v>
      </c>
      <c r="AN3" s="591"/>
      <c r="AO3" s="591" t="s">
        <v>263</v>
      </c>
      <c r="AP3" s="591" t="s">
        <v>326</v>
      </c>
      <c r="AQ3" s="604" t="s">
        <v>33</v>
      </c>
      <c r="AR3" s="609" t="s">
        <v>264</v>
      </c>
      <c r="AS3" s="611" t="s">
        <v>265</v>
      </c>
      <c r="AT3" s="611" t="s">
        <v>266</v>
      </c>
      <c r="AU3" s="613" t="s">
        <v>53</v>
      </c>
      <c r="AV3" s="614"/>
      <c r="AW3" s="614"/>
      <c r="AX3" s="614"/>
      <c r="AY3" s="614"/>
      <c r="AZ3" s="614"/>
      <c r="BA3" s="614"/>
      <c r="BB3" s="614"/>
      <c r="BC3" s="614"/>
      <c r="BD3" s="615"/>
      <c r="BE3" s="611" t="s">
        <v>1581</v>
      </c>
      <c r="BF3" s="611"/>
      <c r="BG3" s="297" t="s">
        <v>1442</v>
      </c>
      <c r="BH3" s="605" t="s">
        <v>299</v>
      </c>
      <c r="BI3" s="605" t="s">
        <v>300</v>
      </c>
      <c r="BJ3" s="605" t="s">
        <v>301</v>
      </c>
      <c r="BK3" s="605" t="s">
        <v>302</v>
      </c>
      <c r="BL3" s="605" t="s">
        <v>303</v>
      </c>
      <c r="BM3" s="605" t="s">
        <v>304</v>
      </c>
      <c r="BN3" s="605" t="s">
        <v>305</v>
      </c>
      <c r="BO3" s="605" t="s">
        <v>306</v>
      </c>
      <c r="BP3" s="605" t="s">
        <v>307</v>
      </c>
      <c r="BQ3" s="605" t="s">
        <v>308</v>
      </c>
      <c r="BR3" s="605" t="s">
        <v>309</v>
      </c>
      <c r="BS3" s="605" t="s">
        <v>310</v>
      </c>
      <c r="BT3" s="616" t="s">
        <v>311</v>
      </c>
      <c r="BU3" s="617" t="s">
        <v>1428</v>
      </c>
      <c r="CA3" s="299" t="s">
        <v>809</v>
      </c>
      <c r="CH3" s="590" t="s">
        <v>816</v>
      </c>
      <c r="CI3" s="590"/>
      <c r="CJ3" s="590"/>
      <c r="CK3" s="590"/>
      <c r="CL3" s="590"/>
      <c r="CM3" s="590"/>
      <c r="CN3" s="590"/>
      <c r="CO3" s="590"/>
      <c r="CP3" s="590"/>
      <c r="CQ3" s="590"/>
      <c r="CR3" s="590"/>
      <c r="CS3" s="620" t="s">
        <v>262</v>
      </c>
      <c r="CT3" s="620"/>
      <c r="CU3" s="620"/>
      <c r="CV3" s="620"/>
      <c r="CW3" s="620"/>
      <c r="CX3" s="620"/>
      <c r="CY3" s="620"/>
      <c r="CZ3" s="620"/>
      <c r="DA3" s="620"/>
      <c r="DB3" s="620"/>
      <c r="DC3" s="620"/>
      <c r="DD3" s="292"/>
      <c r="DE3" s="590" t="s">
        <v>825</v>
      </c>
      <c r="DF3" s="590"/>
      <c r="DG3" s="590"/>
      <c r="DH3" s="590"/>
      <c r="DI3" s="590"/>
      <c r="DJ3" s="590"/>
      <c r="DK3" s="590"/>
      <c r="DL3" s="590"/>
      <c r="DM3" s="590"/>
      <c r="DN3" s="590"/>
      <c r="DO3" s="620" t="s">
        <v>827</v>
      </c>
      <c r="DP3" s="620"/>
      <c r="DQ3" s="620"/>
      <c r="DR3" s="620"/>
      <c r="DS3" s="620"/>
      <c r="DT3" s="620"/>
      <c r="DU3" s="620"/>
      <c r="DV3" s="620"/>
      <c r="DW3" s="620"/>
      <c r="DX3" s="620"/>
      <c r="DY3" s="620"/>
      <c r="DZ3" s="590" t="s">
        <v>826</v>
      </c>
      <c r="EA3" s="590"/>
      <c r="EB3" s="590"/>
      <c r="EC3" s="590"/>
      <c r="ED3" s="590"/>
      <c r="EE3" s="590"/>
      <c r="EF3" s="590"/>
      <c r="EG3" s="590"/>
      <c r="EH3" s="590"/>
      <c r="EI3" s="590"/>
      <c r="EJ3" s="590"/>
      <c r="EK3" s="620" t="s">
        <v>833</v>
      </c>
      <c r="EL3" s="620"/>
      <c r="EM3" s="620"/>
      <c r="EN3" s="620"/>
      <c r="EO3" s="620"/>
      <c r="EP3" s="620"/>
      <c r="EQ3" s="620"/>
      <c r="ER3" s="620"/>
      <c r="ES3" s="620"/>
      <c r="ET3" s="620"/>
      <c r="EU3" s="620"/>
      <c r="EV3" s="619" t="s">
        <v>1026</v>
      </c>
      <c r="EW3" s="619" t="s">
        <v>1022</v>
      </c>
      <c r="EX3" s="619" t="s">
        <v>1023</v>
      </c>
      <c r="EY3" s="619" t="s">
        <v>1027</v>
      </c>
      <c r="EZ3" s="619" t="s">
        <v>1024</v>
      </c>
      <c r="FA3" s="619" t="s">
        <v>1025</v>
      </c>
      <c r="FB3" s="619" t="s">
        <v>33</v>
      </c>
      <c r="FN3" s="91" t="s">
        <v>1638</v>
      </c>
    </row>
    <row r="4" spans="1:173" ht="57.5" customHeight="1" thickBot="1" x14ac:dyDescent="0.35">
      <c r="A4" s="300"/>
      <c r="B4" s="301"/>
      <c r="C4" s="302"/>
      <c r="D4" s="302"/>
      <c r="E4" s="302"/>
      <c r="F4" s="302"/>
      <c r="G4" s="302"/>
      <c r="H4" s="302"/>
      <c r="I4" s="302"/>
      <c r="J4" s="303" t="s">
        <v>105</v>
      </c>
      <c r="K4" s="303" t="s">
        <v>106</v>
      </c>
      <c r="L4" s="303" t="s">
        <v>107</v>
      </c>
      <c r="M4" s="303" t="s">
        <v>108</v>
      </c>
      <c r="N4" s="303" t="s">
        <v>109</v>
      </c>
      <c r="O4" s="303" t="s">
        <v>120</v>
      </c>
      <c r="P4" s="303" t="s">
        <v>111</v>
      </c>
      <c r="Q4" s="303" t="s">
        <v>112</v>
      </c>
      <c r="R4" s="303" t="s">
        <v>113</v>
      </c>
      <c r="S4" s="303" t="s">
        <v>110</v>
      </c>
      <c r="T4" s="303" t="s">
        <v>935</v>
      </c>
      <c r="U4" s="303" t="s">
        <v>936</v>
      </c>
      <c r="V4" s="303" t="s">
        <v>937</v>
      </c>
      <c r="W4" s="303" t="s">
        <v>938</v>
      </c>
      <c r="X4" s="303" t="s">
        <v>939</v>
      </c>
      <c r="Y4" s="303" t="s">
        <v>120</v>
      </c>
      <c r="Z4" s="303" t="s">
        <v>111</v>
      </c>
      <c r="AA4" s="303" t="s">
        <v>112</v>
      </c>
      <c r="AB4" s="303" t="s">
        <v>113</v>
      </c>
      <c r="AC4" s="303" t="s">
        <v>110</v>
      </c>
      <c r="AD4" s="303" t="s">
        <v>256</v>
      </c>
      <c r="AE4" s="303" t="s">
        <v>257</v>
      </c>
      <c r="AF4" s="302"/>
      <c r="AG4" s="302" t="s">
        <v>38</v>
      </c>
      <c r="AH4" s="302" t="s">
        <v>260</v>
      </c>
      <c r="AI4" s="302" t="s">
        <v>261</v>
      </c>
      <c r="AJ4" s="302" t="s">
        <v>260</v>
      </c>
      <c r="AK4" s="302" t="s">
        <v>715</v>
      </c>
      <c r="AL4" s="302" t="s">
        <v>716</v>
      </c>
      <c r="AM4" s="302" t="s">
        <v>262</v>
      </c>
      <c r="AN4" s="302" t="s">
        <v>260</v>
      </c>
      <c r="AO4" s="607"/>
      <c r="AP4" s="607"/>
      <c r="AQ4" s="608"/>
      <c r="AR4" s="610"/>
      <c r="AS4" s="612"/>
      <c r="AT4" s="612"/>
      <c r="AU4" s="303" t="s">
        <v>164</v>
      </c>
      <c r="AV4" s="303" t="s">
        <v>36</v>
      </c>
      <c r="AW4" s="303" t="s">
        <v>5</v>
      </c>
      <c r="AX4" s="303" t="s">
        <v>3</v>
      </c>
      <c r="AY4" s="303" t="s">
        <v>165</v>
      </c>
      <c r="AZ4" s="303" t="s">
        <v>166</v>
      </c>
      <c r="BA4" s="303" t="s">
        <v>1578</v>
      </c>
      <c r="BB4" s="303"/>
      <c r="BC4" s="303"/>
      <c r="BD4" s="303"/>
      <c r="BE4" s="612"/>
      <c r="BF4" s="612"/>
      <c r="BG4" s="304" t="s">
        <v>37</v>
      </c>
      <c r="BH4" s="606"/>
      <c r="BI4" s="606"/>
      <c r="BJ4" s="606"/>
      <c r="BK4" s="606"/>
      <c r="BL4" s="606"/>
      <c r="BM4" s="606"/>
      <c r="BN4" s="606"/>
      <c r="BO4" s="606"/>
      <c r="BP4" s="606"/>
      <c r="BQ4" s="606"/>
      <c r="BR4" s="606"/>
      <c r="BS4" s="606"/>
      <c r="BT4" s="592"/>
      <c r="BU4" s="618"/>
      <c r="BY4" s="305"/>
      <c r="BZ4" s="306" t="str">
        <f>'AR-Hierarchy '!K4</f>
        <v>Basic Design</v>
      </c>
      <c r="CA4" s="306" t="str">
        <f>'AR-Hierarchy '!K5</f>
        <v>Standard Design</v>
      </c>
      <c r="CB4" s="306" t="str">
        <f>'AR-Hierarchy '!K6</f>
        <v xml:space="preserve">Superior Design </v>
      </c>
      <c r="CC4" s="306" t="str">
        <f>'AR-Hierarchy '!K7</f>
        <v>None</v>
      </c>
      <c r="CD4" s="306" t="str">
        <f>BZ4</f>
        <v>Basic Design</v>
      </c>
      <c r="CE4" s="306" t="str">
        <f>CA4</f>
        <v>Standard Design</v>
      </c>
      <c r="CF4" s="306" t="str">
        <f>CB4</f>
        <v xml:space="preserve">Superior Design </v>
      </c>
      <c r="CG4" s="305" t="s">
        <v>117</v>
      </c>
      <c r="CH4" s="307" t="str">
        <f>BY5</f>
        <v>Substructure</v>
      </c>
      <c r="CI4" s="308" t="str">
        <f>BY6</f>
        <v>Structure</v>
      </c>
      <c r="CJ4" s="308" t="str">
        <f>BY7</f>
        <v>Roofing</v>
      </c>
      <c r="CK4" s="307" t="str">
        <f>BY8</f>
        <v>Exterior Wall Cladding</v>
      </c>
      <c r="CL4" s="308" t="str">
        <f>BY9</f>
        <v>Fitouts</v>
      </c>
      <c r="CM4" s="309" t="str">
        <f>BY10</f>
        <v>Floor Covering</v>
      </c>
      <c r="CN4" s="310" t="str">
        <f>BY11</f>
        <v>Service Mechanical</v>
      </c>
      <c r="CO4" s="310" t="str">
        <f>BY12</f>
        <v>Services Electrical</v>
      </c>
      <c r="CP4" s="310" t="str">
        <f>BY13</f>
        <v>Services Sanitation</v>
      </c>
      <c r="CQ4" s="310" t="str">
        <f>BY14</f>
        <v>Services Water</v>
      </c>
      <c r="CR4" s="310" t="s">
        <v>823</v>
      </c>
      <c r="CS4" s="306" t="str">
        <f>CH4</f>
        <v>Substructure</v>
      </c>
      <c r="CT4" s="306" t="str">
        <f t="shared" ref="CT4:DB4" si="0">CI4</f>
        <v>Structure</v>
      </c>
      <c r="CU4" s="306" t="str">
        <f t="shared" si="0"/>
        <v>Roofing</v>
      </c>
      <c r="CV4" s="306" t="str">
        <f t="shared" si="0"/>
        <v>Exterior Wall Cladding</v>
      </c>
      <c r="CW4" s="306" t="str">
        <f t="shared" si="0"/>
        <v>Fitouts</v>
      </c>
      <c r="CX4" s="306" t="str">
        <f t="shared" si="0"/>
        <v>Floor Covering</v>
      </c>
      <c r="CY4" s="306" t="str">
        <f t="shared" si="0"/>
        <v>Service Mechanical</v>
      </c>
      <c r="CZ4" s="306" t="str">
        <f t="shared" si="0"/>
        <v>Services Electrical</v>
      </c>
      <c r="DA4" s="306" t="str">
        <f t="shared" si="0"/>
        <v>Services Sanitation</v>
      </c>
      <c r="DB4" s="306" t="str">
        <f t="shared" si="0"/>
        <v>Services Water</v>
      </c>
      <c r="DC4" s="306" t="s">
        <v>824</v>
      </c>
      <c r="DD4" s="307" t="s">
        <v>1028</v>
      </c>
      <c r="DE4" s="307" t="str">
        <f>CS4</f>
        <v>Substructure</v>
      </c>
      <c r="DF4" s="307" t="str">
        <f t="shared" ref="DF4:DN4" si="1">CT4</f>
        <v>Structure</v>
      </c>
      <c r="DG4" s="307" t="str">
        <f t="shared" si="1"/>
        <v>Roofing</v>
      </c>
      <c r="DH4" s="307" t="str">
        <f t="shared" si="1"/>
        <v>Exterior Wall Cladding</v>
      </c>
      <c r="DI4" s="307" t="str">
        <f t="shared" si="1"/>
        <v>Fitouts</v>
      </c>
      <c r="DJ4" s="307" t="str">
        <f t="shared" si="1"/>
        <v>Floor Covering</v>
      </c>
      <c r="DK4" s="307" t="str">
        <f t="shared" si="1"/>
        <v>Service Mechanical</v>
      </c>
      <c r="DL4" s="307" t="str">
        <f t="shared" si="1"/>
        <v>Services Electrical</v>
      </c>
      <c r="DM4" s="307" t="str">
        <f t="shared" si="1"/>
        <v>Services Sanitation</v>
      </c>
      <c r="DN4" s="307" t="str">
        <f t="shared" si="1"/>
        <v>Services Water</v>
      </c>
      <c r="DO4" s="311" t="str">
        <f>DE4</f>
        <v>Substructure</v>
      </c>
      <c r="DP4" s="311" t="str">
        <f t="shared" ref="DP4:DX4" si="2">DF4</f>
        <v>Structure</v>
      </c>
      <c r="DQ4" s="311" t="str">
        <f t="shared" si="2"/>
        <v>Roofing</v>
      </c>
      <c r="DR4" s="311" t="str">
        <f t="shared" si="2"/>
        <v>Exterior Wall Cladding</v>
      </c>
      <c r="DS4" s="311" t="str">
        <f t="shared" si="2"/>
        <v>Fitouts</v>
      </c>
      <c r="DT4" s="311" t="str">
        <f t="shared" si="2"/>
        <v>Floor Covering</v>
      </c>
      <c r="DU4" s="311" t="str">
        <f t="shared" si="2"/>
        <v>Service Mechanical</v>
      </c>
      <c r="DV4" s="311" t="str">
        <f t="shared" si="2"/>
        <v>Services Electrical</v>
      </c>
      <c r="DW4" s="311" t="str">
        <f t="shared" si="2"/>
        <v>Services Sanitation</v>
      </c>
      <c r="DX4" s="311" t="str">
        <f t="shared" si="2"/>
        <v>Services Water</v>
      </c>
      <c r="DY4" s="311" t="s">
        <v>1021</v>
      </c>
      <c r="DZ4" s="310" t="str">
        <f>DO4</f>
        <v>Substructure</v>
      </c>
      <c r="EA4" s="310" t="str">
        <f t="shared" ref="EA4:EI4" si="3">DP4</f>
        <v>Structure</v>
      </c>
      <c r="EB4" s="310" t="str">
        <f t="shared" si="3"/>
        <v>Roofing</v>
      </c>
      <c r="EC4" s="310" t="str">
        <f t="shared" si="3"/>
        <v>Exterior Wall Cladding</v>
      </c>
      <c r="ED4" s="310" t="str">
        <f t="shared" si="3"/>
        <v>Fitouts</v>
      </c>
      <c r="EE4" s="310" t="str">
        <f t="shared" si="3"/>
        <v>Floor Covering</v>
      </c>
      <c r="EF4" s="310" t="str">
        <f t="shared" si="3"/>
        <v>Service Mechanical</v>
      </c>
      <c r="EG4" s="310" t="str">
        <f t="shared" si="3"/>
        <v>Services Electrical</v>
      </c>
      <c r="EH4" s="310" t="str">
        <f t="shared" si="3"/>
        <v>Services Sanitation</v>
      </c>
      <c r="EI4" s="310" t="str">
        <f t="shared" si="3"/>
        <v>Services Water</v>
      </c>
      <c r="EJ4" s="310" t="s">
        <v>1021</v>
      </c>
      <c r="EK4" s="311" t="str">
        <f>DZ4</f>
        <v>Substructure</v>
      </c>
      <c r="EL4" s="311" t="str">
        <f t="shared" ref="EL4:ET4" si="4">EA4</f>
        <v>Structure</v>
      </c>
      <c r="EM4" s="311" t="str">
        <f t="shared" si="4"/>
        <v>Roofing</v>
      </c>
      <c r="EN4" s="311" t="str">
        <f t="shared" si="4"/>
        <v>Exterior Wall Cladding</v>
      </c>
      <c r="EO4" s="311" t="str">
        <f t="shared" si="4"/>
        <v>Fitouts</v>
      </c>
      <c r="EP4" s="311" t="str">
        <f t="shared" si="4"/>
        <v>Floor Covering</v>
      </c>
      <c r="EQ4" s="311" t="str">
        <f t="shared" si="4"/>
        <v>Service Mechanical</v>
      </c>
      <c r="ER4" s="311" t="str">
        <f t="shared" si="4"/>
        <v>Services Electrical</v>
      </c>
      <c r="ES4" s="311" t="str">
        <f t="shared" si="4"/>
        <v>Services Sanitation</v>
      </c>
      <c r="ET4" s="311" t="str">
        <f t="shared" si="4"/>
        <v>Services Water</v>
      </c>
      <c r="EU4" s="311" t="s">
        <v>52</v>
      </c>
      <c r="EV4" s="619"/>
      <c r="EW4" s="619"/>
      <c r="EX4" s="619"/>
      <c r="EY4" s="619"/>
      <c r="EZ4" s="619"/>
      <c r="FA4" s="619"/>
      <c r="FB4" s="619"/>
      <c r="FN4" s="91" t="s">
        <v>1637</v>
      </c>
    </row>
    <row r="5" spans="1:173" ht="35" customHeight="1" thickTop="1" x14ac:dyDescent="0.3">
      <c r="A5" s="312" t="s">
        <v>1710</v>
      </c>
      <c r="B5" s="313" t="s">
        <v>1121</v>
      </c>
      <c r="C5" s="313" t="s">
        <v>55</v>
      </c>
      <c r="D5" s="313" t="s">
        <v>92</v>
      </c>
      <c r="E5" s="313" t="s">
        <v>8</v>
      </c>
      <c r="F5" s="313" t="s">
        <v>945</v>
      </c>
      <c r="G5" s="313" t="s">
        <v>724</v>
      </c>
      <c r="H5" s="313" t="s">
        <v>1124</v>
      </c>
      <c r="I5" s="313" t="s">
        <v>1126</v>
      </c>
      <c r="J5" s="313" t="s">
        <v>1045</v>
      </c>
      <c r="K5" s="313" t="s">
        <v>1046</v>
      </c>
      <c r="L5" s="313" t="s">
        <v>1056</v>
      </c>
      <c r="M5" s="313" t="s">
        <v>1059</v>
      </c>
      <c r="N5" s="313" t="s">
        <v>1069</v>
      </c>
      <c r="O5" s="313" t="s">
        <v>1371</v>
      </c>
      <c r="P5" s="313" t="s">
        <v>1077</v>
      </c>
      <c r="Q5" s="313" t="s">
        <v>1082</v>
      </c>
      <c r="R5" s="313" t="s">
        <v>1086</v>
      </c>
      <c r="S5" s="314" t="s">
        <v>1088</v>
      </c>
      <c r="T5" s="314" t="s">
        <v>104</v>
      </c>
      <c r="U5" s="314" t="s">
        <v>104</v>
      </c>
      <c r="V5" s="314" t="s">
        <v>1018</v>
      </c>
      <c r="W5" s="314" t="s">
        <v>104</v>
      </c>
      <c r="X5" s="314" t="s">
        <v>104</v>
      </c>
      <c r="Y5" s="314" t="s">
        <v>104</v>
      </c>
      <c r="Z5" s="314" t="s">
        <v>104</v>
      </c>
      <c r="AA5" s="314" t="s">
        <v>104</v>
      </c>
      <c r="AB5" s="314" t="s">
        <v>104</v>
      </c>
      <c r="AC5" s="314" t="s">
        <v>104</v>
      </c>
      <c r="AD5" s="313" t="s">
        <v>1771</v>
      </c>
      <c r="AE5" s="313">
        <v>4500</v>
      </c>
      <c r="AF5" s="313">
        <f>'GRC and TUL Assumptions'!G6</f>
        <v>60</v>
      </c>
      <c r="AG5" s="314">
        <v>1992</v>
      </c>
      <c r="AH5" s="313" t="s">
        <v>800</v>
      </c>
      <c r="AI5" s="313">
        <f t="shared" ref="AI5:AJ8" si="5">AG5</f>
        <v>1992</v>
      </c>
      <c r="AJ5" s="313" t="str">
        <f t="shared" si="5"/>
        <v>Estimated</v>
      </c>
      <c r="AK5" s="313"/>
      <c r="AL5" s="313"/>
      <c r="AM5" s="315">
        <f>DC5+EW5</f>
        <v>3493970.5683320332</v>
      </c>
      <c r="AN5" s="315" t="s">
        <v>800</v>
      </c>
      <c r="AO5" s="509">
        <f>EJ5+FA5</f>
        <v>2445779.3978324234</v>
      </c>
      <c r="AP5" s="509">
        <f>AM5-AO5</f>
        <v>1048191.1704996098</v>
      </c>
      <c r="AQ5" s="509">
        <f>EU5+FB5</f>
        <v>34939.705683320339</v>
      </c>
      <c r="AR5" s="509">
        <f>AP5-AQ5</f>
        <v>1013251.4648162895</v>
      </c>
      <c r="AS5" s="510">
        <f>HLOOKUP($C$1,'Inflation Adjustments'!$BI$3:$BT$4,2)*CR5</f>
        <v>15114315.234374998</v>
      </c>
      <c r="AT5" s="511">
        <f>IF(BU5="In Service",'Maintenace Cost Assumptions'!$B$3*AS5,0)</f>
        <v>75571.576171874985</v>
      </c>
      <c r="AU5" s="318">
        <v>4</v>
      </c>
      <c r="AV5" s="318">
        <v>4</v>
      </c>
      <c r="AW5" s="318">
        <v>4</v>
      </c>
      <c r="AX5" s="318">
        <v>4</v>
      </c>
      <c r="AY5" s="318">
        <v>3</v>
      </c>
      <c r="AZ5" s="318">
        <v>3</v>
      </c>
      <c r="BA5" s="318">
        <v>3</v>
      </c>
      <c r="BB5" s="318"/>
      <c r="BC5" s="318"/>
      <c r="BD5" s="318"/>
      <c r="BE5" s="318">
        <v>3</v>
      </c>
      <c r="BF5" s="313"/>
      <c r="BG5" s="319">
        <f>(AU5*'Condition rating weights'!H$8+AV5*'Condition rating weights'!I$8+AW5*'Condition rating weights'!J$8+AX5*'Condition rating weights'!K$8+AY5*'Condition rating weights'!L$8+AZ5*'Condition rating weights'!M$8+BA5*'Condition rating weights'!N$8+BB5*'Condition rating weights'!O$8+BC5*'Condition rating weights'!P$8+BD5*'Condition rating weights'!Q$8+BE5*'Condition rating weights'!R$8+BF5*'Condition rating weights'!S$8)/100</f>
        <v>0.7</v>
      </c>
      <c r="BH5" s="320">
        <v>2</v>
      </c>
      <c r="BI5" s="320">
        <v>211</v>
      </c>
      <c r="BJ5" s="320" t="s">
        <v>12</v>
      </c>
      <c r="BK5" s="320" t="s">
        <v>959</v>
      </c>
      <c r="BL5" s="320" t="s">
        <v>960</v>
      </c>
      <c r="BM5" s="320" t="s">
        <v>961</v>
      </c>
      <c r="BN5" s="320" t="s">
        <v>117</v>
      </c>
      <c r="BO5" s="320" t="s">
        <v>962</v>
      </c>
      <c r="BP5" s="320" t="s">
        <v>962</v>
      </c>
      <c r="BQ5" s="320" t="s">
        <v>963</v>
      </c>
      <c r="BR5" s="320" t="s">
        <v>964</v>
      </c>
      <c r="BS5" s="320" t="s">
        <v>964</v>
      </c>
      <c r="BT5" s="321" t="s">
        <v>965</v>
      </c>
      <c r="BU5" s="322" t="s">
        <v>1430</v>
      </c>
      <c r="BY5" s="306" t="str">
        <f>'GRC and TUL Assumptions'!A5</f>
        <v>Substructure</v>
      </c>
      <c r="BZ5" s="305">
        <f>'GRC and TUL Assumptions'!C5</f>
        <v>150</v>
      </c>
      <c r="CA5" s="305">
        <f>'GRC and TUL Assumptions'!D5</f>
        <v>200</v>
      </c>
      <c r="CB5" s="305">
        <f>'GRC and TUL Assumptions'!E5</f>
        <v>300</v>
      </c>
      <c r="CC5" s="305">
        <v>0</v>
      </c>
      <c r="CD5" s="305">
        <f>'GRC and TUL Assumptions'!F5</f>
        <v>40</v>
      </c>
      <c r="CE5" s="305">
        <f>'GRC and TUL Assumptions'!G5</f>
        <v>60</v>
      </c>
      <c r="CF5" s="305">
        <f>'GRC and TUL Assumptions'!H5</f>
        <v>60</v>
      </c>
      <c r="CG5" s="305">
        <f>CD5</f>
        <v>40</v>
      </c>
      <c r="CH5" s="323">
        <f t="shared" ref="CH5:CH20" si="6">(HLOOKUP(T5,$BZ$4:$CC$14,2,TRUE))*$AE5</f>
        <v>900000</v>
      </c>
      <c r="CI5" s="323">
        <f t="shared" ref="CI5:CI20" si="7">(HLOOKUP(U5,$BZ$4:$CD$14,3,TRUE))*$AE5</f>
        <v>3600000</v>
      </c>
      <c r="CJ5" s="323">
        <f>(HLOOKUP(V5,$BZ$4:$CD$14,4,TRUE))*$AE5/BH5</f>
        <v>675000</v>
      </c>
      <c r="CK5" s="323">
        <f t="shared" ref="CK5:CK20" si="8">(HLOOKUP(W5,$BZ$4:$CD$14,5,FALSE))*$AE5</f>
        <v>1035000</v>
      </c>
      <c r="CL5" s="323">
        <f t="shared" ref="CL5:CL20" si="9">(HLOOKUP(X5,$BZ$4:$CD$14,6,FALSE))*$AE5</f>
        <v>1575000</v>
      </c>
      <c r="CM5" s="323">
        <f t="shared" ref="CM5:CM20" si="10">(HLOOKUP(Y5,$BZ$4:$CD$14,7,FALSE))*$AE5</f>
        <v>675000</v>
      </c>
      <c r="CN5" s="323">
        <f t="shared" ref="CN5:CN20" si="11">(HLOOKUP(Z5,$BZ$4:$CD$14,8,FALSE))*$AE5</f>
        <v>450000</v>
      </c>
      <c r="CO5" s="323">
        <f t="shared" ref="CO5:CO20" si="12">(HLOOKUP(AA5,$BZ$4:$CD$14,9,FALSE))*$AE5</f>
        <v>450000</v>
      </c>
      <c r="CP5" s="323">
        <f t="shared" ref="CP5:CP20" si="13">(HLOOKUP(AB5,$BZ$4:$CD$14,10,FALSE))*$AE5</f>
        <v>585000</v>
      </c>
      <c r="CQ5" s="323">
        <f t="shared" ref="CQ5:CQ20" si="14">(HLOOKUP(AC5,$BZ$4:$CD$14,11,FALSE))*$AE5</f>
        <v>180000</v>
      </c>
      <c r="CR5" s="324">
        <f>SUM(CH5:CQ5)</f>
        <v>10125000</v>
      </c>
      <c r="CS5" s="325">
        <f>(HLOOKUP($AI5,'Inflation Adjustments'!$M$3:$BT$4,2,TRUE))*CH5</f>
        <v>310575.16162951407</v>
      </c>
      <c r="CT5" s="325">
        <f>(HLOOKUP($AI5,'Inflation Adjustments'!$M$3:$BT$4,2,TRUE))*CI5</f>
        <v>1242300.6465180563</v>
      </c>
      <c r="CU5" s="325">
        <f>(HLOOKUP($AI5,'Inflation Adjustments'!$M$3:$BT$4,2,TRUE))*CJ5</f>
        <v>232931.37122213558</v>
      </c>
      <c r="CV5" s="325">
        <f>(HLOOKUP($AI5,'Inflation Adjustments'!$M$3:$BT$4,2,TRUE))*CK5</f>
        <v>357161.43587394123</v>
      </c>
      <c r="CW5" s="325">
        <f>(HLOOKUP($AI5,'Inflation Adjustments'!$M$3:$BT$4,2,TRUE))*CL5</f>
        <v>543506.53285164968</v>
      </c>
      <c r="CX5" s="325">
        <f>(HLOOKUP($AI5,'Inflation Adjustments'!$M$3:$BT$4,2,TRUE))*CM5</f>
        <v>232931.37122213558</v>
      </c>
      <c r="CY5" s="325">
        <f>(HLOOKUP($AI5,'Inflation Adjustments'!$M$3:$BT$4,2,TRUE))*CN5</f>
        <v>155287.58081475704</v>
      </c>
      <c r="CZ5" s="325">
        <f>(HLOOKUP($AI5,'Inflation Adjustments'!$M$3:$BT$4,2,TRUE))*CO5</f>
        <v>155287.58081475704</v>
      </c>
      <c r="DA5" s="325">
        <f>(HLOOKUP($AI5,'Inflation Adjustments'!$M$3:$BT$4,2,TRUE))*CP5</f>
        <v>201873.85505918416</v>
      </c>
      <c r="DB5" s="325">
        <f>(HLOOKUP($AI5,'Inflation Adjustments'!$M$3:$BT$4,2,TRUE))*CQ5</f>
        <v>62115.032325902816</v>
      </c>
      <c r="DC5" s="325">
        <f>SUM(CS5:DB5)</f>
        <v>3493970.5683320332</v>
      </c>
      <c r="DD5" s="326">
        <f t="shared" ref="DD5:DD20" si="15">IF(($C$1-AI5-1)&lt;0,0,$C$1-AI5-1)</f>
        <v>30</v>
      </c>
      <c r="DE5" s="323">
        <f t="shared" ref="DE5:DE20" si="16">(HLOOKUP(T5,$CD$4:$CG$14,2,FALSE))</f>
        <v>60</v>
      </c>
      <c r="DF5" s="323">
        <f t="shared" ref="DF5:DF20" si="17">(HLOOKUP(U5,$CD$4:$CG$14,3,FALSE))</f>
        <v>60</v>
      </c>
      <c r="DG5" s="323">
        <f t="shared" ref="DG5:DG20" si="18">(HLOOKUP(V5,$CD$4:$CG$14,4,FALSE))</f>
        <v>30</v>
      </c>
      <c r="DH5" s="323">
        <f t="shared" ref="DH5:DH20" si="19">(HLOOKUP(W5,$CD$4:$CG$14,5,FALSE))</f>
        <v>30</v>
      </c>
      <c r="DI5" s="323">
        <f t="shared" ref="DI5:DI20" si="20">(HLOOKUP(X5,$CD$4:$CG$14,6,FALSE))</f>
        <v>60</v>
      </c>
      <c r="DJ5" s="323">
        <f t="shared" ref="DJ5:DJ20" si="21">(HLOOKUP(Y5,$CD$4:$CG$14,7,FALSE))</f>
        <v>30</v>
      </c>
      <c r="DK5" s="323">
        <f t="shared" ref="DK5:DK20" si="22">(HLOOKUP(Z5,$CD$4:$CG$14,8,FALSE))</f>
        <v>20</v>
      </c>
      <c r="DL5" s="323">
        <f t="shared" ref="DL5:DL20" si="23">(HLOOKUP(AA5,$CD$4:$CG$14,8,FALSE))</f>
        <v>20</v>
      </c>
      <c r="DM5" s="323">
        <f t="shared" ref="DM5:DM20" si="24">(HLOOKUP(AB5,$CD$4:$CG$14,9))</f>
        <v>30</v>
      </c>
      <c r="DN5" s="323">
        <f t="shared" ref="DN5:DN20" si="25">(HLOOKUP(AC5,$CD$4:$CG$14,10))</f>
        <v>30</v>
      </c>
      <c r="DO5" s="327">
        <f t="shared" ref="DO5:DO20" si="26">CS5/DE5</f>
        <v>5176.2526938252349</v>
      </c>
      <c r="DP5" s="327">
        <f t="shared" ref="DP5:DX16" si="27">CT5/DF5</f>
        <v>20705.01077530094</v>
      </c>
      <c r="DQ5" s="327">
        <f t="shared" si="27"/>
        <v>7764.3790407378528</v>
      </c>
      <c r="DR5" s="327">
        <f t="shared" si="27"/>
        <v>11905.381195798042</v>
      </c>
      <c r="DS5" s="327">
        <f t="shared" si="27"/>
        <v>9058.4422141941614</v>
      </c>
      <c r="DT5" s="327">
        <f t="shared" si="27"/>
        <v>7764.3790407378528</v>
      </c>
      <c r="DU5" s="327">
        <f t="shared" si="27"/>
        <v>7764.3790407378519</v>
      </c>
      <c r="DV5" s="327">
        <f t="shared" si="27"/>
        <v>7764.3790407378519</v>
      </c>
      <c r="DW5" s="327">
        <f t="shared" si="27"/>
        <v>6729.1285019728057</v>
      </c>
      <c r="DX5" s="327">
        <f t="shared" si="27"/>
        <v>2070.5010775300939</v>
      </c>
      <c r="DY5" s="327">
        <f>SUM(DO5:DX5)</f>
        <v>86702.232621572693</v>
      </c>
      <c r="DZ5" s="323">
        <f t="shared" ref="DZ5:DZ20" si="28">IF(DO5*$DD5&gt;CS5,CS5,DO5*$DD5)</f>
        <v>155287.58081475704</v>
      </c>
      <c r="EA5" s="323">
        <f t="shared" ref="EA5:EI16" si="29">IF(DP5*$DD5&gt;CT5,CT5,DP5*$DD5)</f>
        <v>621150.32325902814</v>
      </c>
      <c r="EB5" s="323">
        <f t="shared" si="29"/>
        <v>232931.37122213558</v>
      </c>
      <c r="EC5" s="323">
        <f t="shared" si="29"/>
        <v>357161.43587394123</v>
      </c>
      <c r="ED5" s="323">
        <f t="shared" si="29"/>
        <v>271753.26642582484</v>
      </c>
      <c r="EE5" s="323">
        <f t="shared" si="29"/>
        <v>232931.37122213558</v>
      </c>
      <c r="EF5" s="323">
        <f t="shared" si="29"/>
        <v>155287.58081475704</v>
      </c>
      <c r="EG5" s="323">
        <f t="shared" si="29"/>
        <v>155287.58081475704</v>
      </c>
      <c r="EH5" s="323">
        <f t="shared" si="29"/>
        <v>201873.85505918416</v>
      </c>
      <c r="EI5" s="323">
        <f t="shared" si="29"/>
        <v>62115.032325902816</v>
      </c>
      <c r="EJ5" s="324">
        <f>SUM(DZ5:EI5)</f>
        <v>2445779.3978324234</v>
      </c>
      <c r="EK5" s="327">
        <f t="shared" ref="EK5:EK20" si="30">IF(DO5&lt;(CS5-DZ5),DO5,(CS5-DZ5))</f>
        <v>5176.2526938252349</v>
      </c>
      <c r="EL5" s="327">
        <f t="shared" ref="EL5:ET16" si="31">IF(DP5&lt;(CT5-EA5),DP5,(CT5-EA5))</f>
        <v>20705.01077530094</v>
      </c>
      <c r="EM5" s="327">
        <f t="shared" si="31"/>
        <v>0</v>
      </c>
      <c r="EN5" s="327">
        <f t="shared" si="31"/>
        <v>0</v>
      </c>
      <c r="EO5" s="327">
        <f t="shared" si="31"/>
        <v>9058.4422141941614</v>
      </c>
      <c r="EP5" s="327">
        <f t="shared" si="31"/>
        <v>0</v>
      </c>
      <c r="EQ5" s="327">
        <f t="shared" si="31"/>
        <v>0</v>
      </c>
      <c r="ER5" s="327">
        <f t="shared" si="31"/>
        <v>0</v>
      </c>
      <c r="ES5" s="327">
        <f t="shared" si="31"/>
        <v>0</v>
      </c>
      <c r="ET5" s="327">
        <f t="shared" si="31"/>
        <v>0</v>
      </c>
      <c r="EU5" s="325">
        <f>SUM(EK5:ET5)</f>
        <v>34939.705683320339</v>
      </c>
      <c r="EV5" s="328"/>
      <c r="EW5" s="324"/>
      <c r="EX5" s="328"/>
      <c r="EY5" s="328"/>
      <c r="EZ5" s="323"/>
      <c r="FA5" s="323"/>
      <c r="FB5" s="323"/>
      <c r="FE5" s="582" t="s">
        <v>1669</v>
      </c>
      <c r="FF5" s="582"/>
      <c r="FG5" s="582"/>
      <c r="FH5" s="582"/>
      <c r="FI5" s="582"/>
      <c r="FJ5" s="582"/>
      <c r="FN5" s="91" t="s">
        <v>1635</v>
      </c>
    </row>
    <row r="6" spans="1:173" ht="35" customHeight="1" x14ac:dyDescent="0.3">
      <c r="A6" s="330" t="s">
        <v>1711</v>
      </c>
      <c r="B6" s="318" t="s">
        <v>1122</v>
      </c>
      <c r="C6" s="318" t="s">
        <v>55</v>
      </c>
      <c r="D6" s="318" t="s">
        <v>92</v>
      </c>
      <c r="E6" s="318" t="s">
        <v>8</v>
      </c>
      <c r="F6" s="318" t="s">
        <v>271</v>
      </c>
      <c r="G6" s="318" t="s">
        <v>724</v>
      </c>
      <c r="H6" s="331" t="s">
        <v>1125</v>
      </c>
      <c r="I6" s="331" t="s">
        <v>1127</v>
      </c>
      <c r="J6" s="318" t="s">
        <v>1045</v>
      </c>
      <c r="K6" s="318" t="s">
        <v>1047</v>
      </c>
      <c r="L6" s="318" t="s">
        <v>571</v>
      </c>
      <c r="M6" s="318" t="s">
        <v>1064</v>
      </c>
      <c r="N6" s="318" t="s">
        <v>1069</v>
      </c>
      <c r="O6" s="318" t="s">
        <v>1371</v>
      </c>
      <c r="P6" s="318" t="s">
        <v>1078</v>
      </c>
      <c r="Q6" s="318" t="s">
        <v>1082</v>
      </c>
      <c r="R6" s="318" t="s">
        <v>1086</v>
      </c>
      <c r="S6" s="318" t="s">
        <v>1088</v>
      </c>
      <c r="T6" s="318" t="s">
        <v>102</v>
      </c>
      <c r="U6" s="318" t="s">
        <v>102</v>
      </c>
      <c r="V6" s="318" t="s">
        <v>102</v>
      </c>
      <c r="W6" s="318" t="s">
        <v>102</v>
      </c>
      <c r="X6" s="318" t="s">
        <v>102</v>
      </c>
      <c r="Y6" s="318" t="s">
        <v>102</v>
      </c>
      <c r="Z6" s="318" t="s">
        <v>102</v>
      </c>
      <c r="AA6" s="318" t="s">
        <v>102</v>
      </c>
      <c r="AB6" s="318" t="s">
        <v>102</v>
      </c>
      <c r="AC6" s="318" t="s">
        <v>102</v>
      </c>
      <c r="AD6" s="318" t="s">
        <v>1771</v>
      </c>
      <c r="AE6" s="318">
        <v>108</v>
      </c>
      <c r="AF6" s="318">
        <v>60</v>
      </c>
      <c r="AG6" s="318">
        <v>2018</v>
      </c>
      <c r="AH6" s="318" t="s">
        <v>800</v>
      </c>
      <c r="AI6" s="318">
        <f t="shared" si="5"/>
        <v>2018</v>
      </c>
      <c r="AJ6" s="318" t="str">
        <f t="shared" si="5"/>
        <v>Estimated</v>
      </c>
      <c r="AK6" s="318"/>
      <c r="AL6" s="318"/>
      <c r="AM6" s="317">
        <f>DC6+EW6</f>
        <v>159037.53609239653</v>
      </c>
      <c r="AN6" s="317" t="s">
        <v>800</v>
      </c>
      <c r="AO6" s="511">
        <f>EJ6+FA6</f>
        <v>27857.555341674684</v>
      </c>
      <c r="AP6" s="511">
        <f>AM6-AO6</f>
        <v>131179.98075072185</v>
      </c>
      <c r="AQ6" s="511">
        <f>EU6+FB6</f>
        <v>6964.3888354186711</v>
      </c>
      <c r="AR6" s="511">
        <f>AP6-AQ6</f>
        <v>124215.59191530317</v>
      </c>
      <c r="AS6" s="511">
        <f>HLOOKUP($C$1,'Inflation Adjustments'!$BI$3:$BT$4,2)*CR6</f>
        <v>246665.62462499997</v>
      </c>
      <c r="AT6" s="511">
        <f>IF(BU6="In Service",'Maintenace Cost Assumptions'!$B$3*AS6,0)</f>
        <v>1233.3281231249998</v>
      </c>
      <c r="AU6" s="318">
        <v>4</v>
      </c>
      <c r="AV6" s="318">
        <v>4</v>
      </c>
      <c r="AW6" s="318">
        <v>4</v>
      </c>
      <c r="AX6" s="318">
        <v>4</v>
      </c>
      <c r="AY6" s="318">
        <v>4</v>
      </c>
      <c r="AZ6" s="318">
        <v>4</v>
      </c>
      <c r="BA6" s="318">
        <v>2</v>
      </c>
      <c r="BB6" s="318"/>
      <c r="BC6" s="318"/>
      <c r="BD6" s="318"/>
      <c r="BE6" s="318">
        <v>2</v>
      </c>
      <c r="BF6" s="318"/>
      <c r="BG6" s="332">
        <f>(AU6*'Condition rating weights'!H$8+AV6*'Condition rating weights'!I$8+AW6*'Condition rating weights'!J$8+AX6*'Condition rating weights'!K$8+AY6*'Condition rating weights'!L$8+AZ6*'Condition rating weights'!M$8+BA6*'Condition rating weights'!N$8+BB6*'Condition rating weights'!O$8+BC6*'Condition rating weights'!P$8+BD6*'Condition rating weights'!Q$8+BE6*'Condition rating weights'!R$8+BF6*'Condition rating weights'!S$8)/100</f>
        <v>0.64</v>
      </c>
      <c r="BH6" s="333">
        <v>1</v>
      </c>
      <c r="BI6" s="333">
        <v>221</v>
      </c>
      <c r="BJ6" s="333" t="s">
        <v>12</v>
      </c>
      <c r="BK6" s="333" t="s">
        <v>959</v>
      </c>
      <c r="BL6" s="333" t="s">
        <v>12</v>
      </c>
      <c r="BM6" s="333" t="s">
        <v>12</v>
      </c>
      <c r="BN6" s="333" t="s">
        <v>117</v>
      </c>
      <c r="BO6" s="333" t="s">
        <v>962</v>
      </c>
      <c r="BP6" s="333" t="s">
        <v>962</v>
      </c>
      <c r="BQ6" s="333" t="s">
        <v>963</v>
      </c>
      <c r="BR6" s="333" t="s">
        <v>964</v>
      </c>
      <c r="BS6" s="333" t="s">
        <v>964</v>
      </c>
      <c r="BT6" s="334" t="s">
        <v>965</v>
      </c>
      <c r="BU6" s="335" t="s">
        <v>1430</v>
      </c>
      <c r="BY6" s="306" t="str">
        <f>'GRC and TUL Assumptions'!A6</f>
        <v>Structure</v>
      </c>
      <c r="BZ6" s="305">
        <f>'GRC and TUL Assumptions'!C6</f>
        <v>500</v>
      </c>
      <c r="CA6" s="305">
        <f>'GRC and TUL Assumptions'!D6</f>
        <v>800</v>
      </c>
      <c r="CB6" s="305">
        <f>'GRC and TUL Assumptions'!E6</f>
        <v>1500</v>
      </c>
      <c r="CC6" s="305">
        <v>0</v>
      </c>
      <c r="CD6" s="305">
        <f>'GRC and TUL Assumptions'!F6</f>
        <v>40</v>
      </c>
      <c r="CE6" s="305">
        <f>'GRC and TUL Assumptions'!G6</f>
        <v>60</v>
      </c>
      <c r="CF6" s="305">
        <f>'GRC and TUL Assumptions'!H6</f>
        <v>60</v>
      </c>
      <c r="CG6" s="305">
        <f t="shared" ref="CG6:CG14" si="32">CD6</f>
        <v>40</v>
      </c>
      <c r="CH6" s="323">
        <f t="shared" si="6"/>
        <v>16200</v>
      </c>
      <c r="CI6" s="323">
        <f t="shared" si="7"/>
        <v>54000</v>
      </c>
      <c r="CJ6" s="323">
        <f>(HLOOKUP(V6,$BZ$4:$CD$14,4,TRUE))*$AE6/BH6</f>
        <v>10800</v>
      </c>
      <c r="CK6" s="323">
        <f t="shared" si="8"/>
        <v>16200</v>
      </c>
      <c r="CL6" s="323">
        <f t="shared" si="9"/>
        <v>27000</v>
      </c>
      <c r="CM6" s="323">
        <f t="shared" si="10"/>
        <v>10800</v>
      </c>
      <c r="CN6" s="323">
        <f t="shared" si="11"/>
        <v>8640</v>
      </c>
      <c r="CO6" s="323">
        <f t="shared" si="12"/>
        <v>8640</v>
      </c>
      <c r="CP6" s="323">
        <f t="shared" si="13"/>
        <v>10800</v>
      </c>
      <c r="CQ6" s="323">
        <f t="shared" si="14"/>
        <v>2160</v>
      </c>
      <c r="CR6" s="324">
        <f t="shared" ref="CR6:CR20" si="33">SUM(CH6:CQ6)</f>
        <v>165240</v>
      </c>
      <c r="CS6" s="325">
        <f>(HLOOKUP($AI6,'Inflation Adjustments'!$M$3:$BT$4,2,TRUE))*CH6</f>
        <v>15591.915303176131</v>
      </c>
      <c r="CT6" s="325">
        <f>(HLOOKUP($AI6,'Inflation Adjustments'!$M$3:$BT$4,2,TRUE))*CI6</f>
        <v>51973.051010587107</v>
      </c>
      <c r="CU6" s="325">
        <f>(HLOOKUP($AI6,'Inflation Adjustments'!$M$3:$BT$4,2,TRUE))*CJ6</f>
        <v>10394.610202117421</v>
      </c>
      <c r="CV6" s="325">
        <f>(HLOOKUP($AI6,'Inflation Adjustments'!$M$3:$BT$4,2,TRUE))*CK6</f>
        <v>15591.915303176131</v>
      </c>
      <c r="CW6" s="325">
        <f>(HLOOKUP($AI6,'Inflation Adjustments'!$M$3:$BT$4,2,TRUE))*CL6</f>
        <v>25986.525505293554</v>
      </c>
      <c r="CX6" s="325">
        <f>(HLOOKUP($AI6,'Inflation Adjustments'!$M$3:$BT$4,2,TRUE))*CM6</f>
        <v>10394.610202117421</v>
      </c>
      <c r="CY6" s="325">
        <f>(HLOOKUP($AI6,'Inflation Adjustments'!$M$3:$BT$4,2,TRUE))*CN6</f>
        <v>8315.6881616939372</v>
      </c>
      <c r="CZ6" s="325">
        <f>(HLOOKUP($AI6,'Inflation Adjustments'!$M$3:$BT$4,2,TRUE))*CO6</f>
        <v>8315.6881616939372</v>
      </c>
      <c r="DA6" s="325">
        <f>(HLOOKUP($AI6,'Inflation Adjustments'!$M$3:$BT$4,2,TRUE))*CP6</f>
        <v>10394.610202117421</v>
      </c>
      <c r="DB6" s="325">
        <f>(HLOOKUP($AI6,'Inflation Adjustments'!$M$3:$BT$4,2,TRUE))*CQ6</f>
        <v>2078.9220404234843</v>
      </c>
      <c r="DC6" s="325">
        <f t="shared" ref="DC6:DC20" si="34">SUM(CS6:DB6)</f>
        <v>159037.53609239653</v>
      </c>
      <c r="DD6" s="326">
        <f t="shared" si="15"/>
        <v>4</v>
      </c>
      <c r="DE6" s="323">
        <f t="shared" si="16"/>
        <v>40</v>
      </c>
      <c r="DF6" s="323">
        <f t="shared" si="17"/>
        <v>40</v>
      </c>
      <c r="DG6" s="323">
        <f t="shared" si="18"/>
        <v>10</v>
      </c>
      <c r="DH6" s="323">
        <f t="shared" si="19"/>
        <v>20</v>
      </c>
      <c r="DI6" s="323">
        <f t="shared" si="20"/>
        <v>40</v>
      </c>
      <c r="DJ6" s="323">
        <f t="shared" si="21"/>
        <v>20</v>
      </c>
      <c r="DK6" s="323">
        <f t="shared" si="22"/>
        <v>10</v>
      </c>
      <c r="DL6" s="323">
        <f t="shared" si="23"/>
        <v>10</v>
      </c>
      <c r="DM6" s="323">
        <f t="shared" si="24"/>
        <v>20</v>
      </c>
      <c r="DN6" s="323">
        <f t="shared" si="25"/>
        <v>20</v>
      </c>
      <c r="DO6" s="327">
        <f t="shared" si="26"/>
        <v>389.79788257940328</v>
      </c>
      <c r="DP6" s="327">
        <f t="shared" si="27"/>
        <v>1299.3262752646776</v>
      </c>
      <c r="DQ6" s="327">
        <f t="shared" si="27"/>
        <v>1039.4610202117422</v>
      </c>
      <c r="DR6" s="327">
        <f t="shared" si="27"/>
        <v>779.59576515880656</v>
      </c>
      <c r="DS6" s="327">
        <f t="shared" si="27"/>
        <v>649.66313763233882</v>
      </c>
      <c r="DT6" s="327">
        <f t="shared" si="27"/>
        <v>519.73051010587108</v>
      </c>
      <c r="DU6" s="327">
        <f t="shared" si="27"/>
        <v>831.5688161693937</v>
      </c>
      <c r="DV6" s="327">
        <f t="shared" si="27"/>
        <v>831.5688161693937</v>
      </c>
      <c r="DW6" s="327">
        <f t="shared" si="27"/>
        <v>519.73051010587108</v>
      </c>
      <c r="DX6" s="327">
        <f t="shared" si="27"/>
        <v>103.94610202117421</v>
      </c>
      <c r="DY6" s="327">
        <f t="shared" ref="DY6:DY20" si="35">SUM(DO6:DX6)</f>
        <v>6964.3888354186711</v>
      </c>
      <c r="DZ6" s="323">
        <f t="shared" si="28"/>
        <v>1559.1915303176131</v>
      </c>
      <c r="EA6" s="323">
        <f t="shared" si="29"/>
        <v>5197.3051010587105</v>
      </c>
      <c r="EB6" s="323">
        <f t="shared" si="29"/>
        <v>4157.8440808469686</v>
      </c>
      <c r="EC6" s="323">
        <f t="shared" si="29"/>
        <v>3118.3830606352262</v>
      </c>
      <c r="ED6" s="323">
        <f t="shared" si="29"/>
        <v>2598.6525505293553</v>
      </c>
      <c r="EE6" s="323">
        <f t="shared" si="29"/>
        <v>2078.9220404234843</v>
      </c>
      <c r="EF6" s="323">
        <f t="shared" si="29"/>
        <v>3326.2752646775748</v>
      </c>
      <c r="EG6" s="323">
        <f t="shared" si="29"/>
        <v>3326.2752646775748</v>
      </c>
      <c r="EH6" s="323">
        <f t="shared" si="29"/>
        <v>2078.9220404234843</v>
      </c>
      <c r="EI6" s="323">
        <f t="shared" si="29"/>
        <v>415.78440808469685</v>
      </c>
      <c r="EJ6" s="324">
        <f t="shared" ref="EJ6:EJ20" si="36">SUM(DZ6:EI6)</f>
        <v>27857.555341674684</v>
      </c>
      <c r="EK6" s="327">
        <f t="shared" si="30"/>
        <v>389.79788257940328</v>
      </c>
      <c r="EL6" s="327">
        <f t="shared" si="31"/>
        <v>1299.3262752646776</v>
      </c>
      <c r="EM6" s="327">
        <f t="shared" si="31"/>
        <v>1039.4610202117422</v>
      </c>
      <c r="EN6" s="327">
        <f t="shared" si="31"/>
        <v>779.59576515880656</v>
      </c>
      <c r="EO6" s="327">
        <f t="shared" si="31"/>
        <v>649.66313763233882</v>
      </c>
      <c r="EP6" s="327">
        <f t="shared" si="31"/>
        <v>519.73051010587108</v>
      </c>
      <c r="EQ6" s="327">
        <f t="shared" si="31"/>
        <v>831.5688161693937</v>
      </c>
      <c r="ER6" s="327">
        <f t="shared" si="31"/>
        <v>831.5688161693937</v>
      </c>
      <c r="ES6" s="327">
        <f t="shared" si="31"/>
        <v>519.73051010587108</v>
      </c>
      <c r="ET6" s="327">
        <f t="shared" si="31"/>
        <v>103.94610202117421</v>
      </c>
      <c r="EU6" s="325">
        <f t="shared" ref="EU6:EU20" si="37">SUM(EK6:ET6)</f>
        <v>6964.3888354186711</v>
      </c>
      <c r="EV6" s="328"/>
      <c r="EW6" s="336"/>
      <c r="EX6" s="336"/>
      <c r="EY6" s="336"/>
      <c r="EZ6" s="336"/>
      <c r="FA6" s="336"/>
      <c r="FB6" s="336"/>
      <c r="FE6" s="582" t="s">
        <v>1670</v>
      </c>
      <c r="FF6" s="582"/>
      <c r="FG6" s="582"/>
      <c r="FH6" s="582"/>
      <c r="FI6" s="582"/>
      <c r="FJ6" s="582"/>
      <c r="FN6" s="91" t="s">
        <v>1636</v>
      </c>
    </row>
    <row r="7" spans="1:173" ht="35" customHeight="1" x14ac:dyDescent="0.3">
      <c r="A7" s="330" t="s">
        <v>1712</v>
      </c>
      <c r="B7" s="318" t="s">
        <v>1123</v>
      </c>
      <c r="C7" s="318" t="s">
        <v>55</v>
      </c>
      <c r="D7" s="318" t="s">
        <v>93</v>
      </c>
      <c r="E7" s="318" t="s">
        <v>8</v>
      </c>
      <c r="F7" s="318" t="s">
        <v>274</v>
      </c>
      <c r="G7" s="318" t="s">
        <v>724</v>
      </c>
      <c r="H7" s="331" t="s">
        <v>1202</v>
      </c>
      <c r="I7" s="331" t="s">
        <v>1203</v>
      </c>
      <c r="J7" s="318" t="s">
        <v>1045</v>
      </c>
      <c r="K7" s="318" t="s">
        <v>1046</v>
      </c>
      <c r="L7" s="318" t="s">
        <v>1053</v>
      </c>
      <c r="M7" s="318" t="s">
        <v>1059</v>
      </c>
      <c r="N7" s="318" t="s">
        <v>117</v>
      </c>
      <c r="O7" s="318" t="s">
        <v>117</v>
      </c>
      <c r="P7" s="318" t="s">
        <v>1077</v>
      </c>
      <c r="Q7" s="318" t="s">
        <v>1082</v>
      </c>
      <c r="R7" s="318" t="s">
        <v>571</v>
      </c>
      <c r="S7" s="318" t="s">
        <v>571</v>
      </c>
      <c r="T7" s="318" t="s">
        <v>104</v>
      </c>
      <c r="U7" s="318" t="s">
        <v>104</v>
      </c>
      <c r="V7" s="318" t="s">
        <v>102</v>
      </c>
      <c r="W7" s="318" t="s">
        <v>102</v>
      </c>
      <c r="X7" s="318" t="s">
        <v>117</v>
      </c>
      <c r="Y7" s="318" t="s">
        <v>117</v>
      </c>
      <c r="Z7" s="318" t="s">
        <v>102</v>
      </c>
      <c r="AA7" s="318" t="s">
        <v>1018</v>
      </c>
      <c r="AB7" s="318" t="s">
        <v>117</v>
      </c>
      <c r="AC7" s="318" t="s">
        <v>117</v>
      </c>
      <c r="AD7" s="318" t="s">
        <v>1771</v>
      </c>
      <c r="AE7" s="318">
        <v>120</v>
      </c>
      <c r="AF7" s="318">
        <v>60</v>
      </c>
      <c r="AG7" s="318">
        <v>1973</v>
      </c>
      <c r="AH7" s="318" t="s">
        <v>800</v>
      </c>
      <c r="AI7" s="318">
        <f t="shared" si="5"/>
        <v>1973</v>
      </c>
      <c r="AJ7" s="318" t="str">
        <f t="shared" si="5"/>
        <v>Estimated</v>
      </c>
      <c r="AK7" s="318"/>
      <c r="AL7" s="318"/>
      <c r="AM7" s="317">
        <f>DC7+EW7</f>
        <v>29089.330452895607</v>
      </c>
      <c r="AN7" s="317" t="s">
        <v>800</v>
      </c>
      <c r="AO7" s="511">
        <f>EJ7+FA7</f>
        <v>25485.922401298179</v>
      </c>
      <c r="AP7" s="511">
        <f>AM7-AO7</f>
        <v>3603.4080515974274</v>
      </c>
      <c r="AQ7" s="511">
        <f>EU7+FB7</f>
        <v>327.58255014522081</v>
      </c>
      <c r="AR7" s="511">
        <f>AP7-AQ7</f>
        <v>3275.8255014522065</v>
      </c>
      <c r="AS7" s="511">
        <f>HLOOKUP($C$1,'Inflation Adjustments'!$BI$3:$BT$4,2)*CR7</f>
        <v>265116.28499999997</v>
      </c>
      <c r="AT7" s="511">
        <f>IF(BU7="In Service",'Maintenace Cost Assumptions'!$B$3*AS7,0)</f>
        <v>1325.5814249999999</v>
      </c>
      <c r="AU7" s="318">
        <v>3</v>
      </c>
      <c r="AV7" s="318">
        <v>3</v>
      </c>
      <c r="AW7" s="318">
        <v>1</v>
      </c>
      <c r="AX7" s="318">
        <v>3</v>
      </c>
      <c r="AY7" s="318">
        <v>1</v>
      </c>
      <c r="AZ7" s="318">
        <v>3</v>
      </c>
      <c r="BA7" s="318">
        <v>3</v>
      </c>
      <c r="BB7" s="318"/>
      <c r="BC7" s="318"/>
      <c r="BD7" s="318"/>
      <c r="BE7" s="318">
        <v>3</v>
      </c>
      <c r="BF7" s="318"/>
      <c r="BG7" s="332">
        <f>(AU7*'Condition rating weights'!H$8+AV7*'Condition rating weights'!I$8+AW7*'Condition rating weights'!J$8+AX7*'Condition rating weights'!K$8+AY7*'Condition rating weights'!L$8+AZ7*'Condition rating weights'!M$8+BA7*'Condition rating weights'!N$8+BB7*'Condition rating weights'!O$8+BC7*'Condition rating weights'!P$8+BD7*'Condition rating weights'!Q$8+BE7*'Condition rating weights'!R$8+BF7*'Condition rating weights'!S$8)/100</f>
        <v>0.56000000000000005</v>
      </c>
      <c r="BH7" s="333">
        <v>1</v>
      </c>
      <c r="BI7" s="333">
        <v>211</v>
      </c>
      <c r="BJ7" s="333" t="s">
        <v>12</v>
      </c>
      <c r="BK7" s="333" t="s">
        <v>959</v>
      </c>
      <c r="BL7" s="333" t="s">
        <v>960</v>
      </c>
      <c r="BM7" s="333" t="s">
        <v>961</v>
      </c>
      <c r="BN7" s="333" t="s">
        <v>117</v>
      </c>
      <c r="BO7" s="333" t="s">
        <v>962</v>
      </c>
      <c r="BP7" s="333" t="s">
        <v>962</v>
      </c>
      <c r="BQ7" s="333" t="s">
        <v>963</v>
      </c>
      <c r="BR7" s="333" t="s">
        <v>964</v>
      </c>
      <c r="BS7" s="333" t="s">
        <v>964</v>
      </c>
      <c r="BT7" s="334" t="s">
        <v>965</v>
      </c>
      <c r="BU7" s="335" t="s">
        <v>1430</v>
      </c>
      <c r="BY7" s="306" t="str">
        <f>'GRC and TUL Assumptions'!A7</f>
        <v>Roofing</v>
      </c>
      <c r="BZ7" s="305">
        <f>'GRC and TUL Assumptions'!C7</f>
        <v>100</v>
      </c>
      <c r="CA7" s="305">
        <f>'GRC and TUL Assumptions'!D7</f>
        <v>150</v>
      </c>
      <c r="CB7" s="305">
        <f>'GRC and TUL Assumptions'!E7</f>
        <v>300</v>
      </c>
      <c r="CC7" s="305">
        <v>0</v>
      </c>
      <c r="CD7" s="305">
        <f>'GRC and TUL Assumptions'!F7</f>
        <v>10</v>
      </c>
      <c r="CE7" s="305">
        <f>'GRC and TUL Assumptions'!G7</f>
        <v>20</v>
      </c>
      <c r="CF7" s="305">
        <f>'GRC and TUL Assumptions'!H7</f>
        <v>30</v>
      </c>
      <c r="CG7" s="305">
        <f t="shared" si="32"/>
        <v>10</v>
      </c>
      <c r="CH7" s="323">
        <f t="shared" si="6"/>
        <v>24000</v>
      </c>
      <c r="CI7" s="323">
        <f t="shared" si="7"/>
        <v>96000</v>
      </c>
      <c r="CJ7" s="323">
        <f>(HLOOKUP(V7,$BZ$4:$CD$14,4,TRUE))*$AE7/BH7</f>
        <v>12000</v>
      </c>
      <c r="CK7" s="323">
        <f t="shared" si="8"/>
        <v>18000</v>
      </c>
      <c r="CL7" s="323">
        <f t="shared" si="9"/>
        <v>0</v>
      </c>
      <c r="CM7" s="323">
        <f t="shared" si="10"/>
        <v>0</v>
      </c>
      <c r="CN7" s="323">
        <f t="shared" si="11"/>
        <v>9600</v>
      </c>
      <c r="CO7" s="323">
        <f t="shared" si="12"/>
        <v>18000</v>
      </c>
      <c r="CP7" s="323">
        <f t="shared" si="13"/>
        <v>0</v>
      </c>
      <c r="CQ7" s="323">
        <f t="shared" si="14"/>
        <v>0</v>
      </c>
      <c r="CR7" s="324">
        <f t="shared" si="33"/>
        <v>177600</v>
      </c>
      <c r="CS7" s="325">
        <f>(HLOOKUP($AI7,'Inflation Adjustments'!$B$3:$BT$4,2,TRUE))*CH7</f>
        <v>3930.9906017426497</v>
      </c>
      <c r="CT7" s="325">
        <f>(HLOOKUP($AI7,'Inflation Adjustments'!$B$3:$BT$4,2,TRUE))*CI7</f>
        <v>15723.962406970599</v>
      </c>
      <c r="CU7" s="325">
        <f>(HLOOKUP($AI7,'Inflation Adjustments'!$B$3:$BT$4,2,TRUE))*CJ7</f>
        <v>1965.4953008713248</v>
      </c>
      <c r="CV7" s="325">
        <f>(HLOOKUP($AI7,'Inflation Adjustments'!$B$3:$BT$4,2,TRUE))*CK7</f>
        <v>2948.2429513069874</v>
      </c>
      <c r="CW7" s="325">
        <f>(HLOOKUP($AI7,'Inflation Adjustments'!$B$3:$BT$4,2,TRUE))*CL7</f>
        <v>0</v>
      </c>
      <c r="CX7" s="325">
        <f>(HLOOKUP($AI7,'Inflation Adjustments'!$B$3:$BT$4,2,TRUE))*CM7</f>
        <v>0</v>
      </c>
      <c r="CY7" s="325">
        <f>(HLOOKUP($AI7,'Inflation Adjustments'!$B$3:$BT$4,2,TRUE))*CN7</f>
        <v>1572.39624069706</v>
      </c>
      <c r="CZ7" s="325">
        <f>(HLOOKUP($AI7,'Inflation Adjustments'!$B$3:$BT$4,2,TRUE))*CO7</f>
        <v>2948.2429513069874</v>
      </c>
      <c r="DA7" s="325">
        <f>(HLOOKUP($AI7,'Inflation Adjustments'!$B$3:$BT$4,2,TRUE))*CP7</f>
        <v>0</v>
      </c>
      <c r="DB7" s="325">
        <f>(HLOOKUP($AI7,'Inflation Adjustments'!$B$3:$BT$4,2,TRUE))*CQ7</f>
        <v>0</v>
      </c>
      <c r="DC7" s="325">
        <f t="shared" si="34"/>
        <v>29089.330452895607</v>
      </c>
      <c r="DD7" s="326">
        <f t="shared" si="15"/>
        <v>49</v>
      </c>
      <c r="DE7" s="323">
        <f t="shared" si="16"/>
        <v>60</v>
      </c>
      <c r="DF7" s="323">
        <f t="shared" si="17"/>
        <v>60</v>
      </c>
      <c r="DG7" s="323">
        <f t="shared" si="18"/>
        <v>10</v>
      </c>
      <c r="DH7" s="323">
        <f t="shared" si="19"/>
        <v>20</v>
      </c>
      <c r="DI7" s="323">
        <f t="shared" si="20"/>
        <v>40</v>
      </c>
      <c r="DJ7" s="323">
        <f t="shared" si="21"/>
        <v>20</v>
      </c>
      <c r="DK7" s="323">
        <f t="shared" si="22"/>
        <v>10</v>
      </c>
      <c r="DL7" s="323">
        <f t="shared" si="23"/>
        <v>30</v>
      </c>
      <c r="DM7" s="323">
        <f t="shared" si="24"/>
        <v>20</v>
      </c>
      <c r="DN7" s="323">
        <f t="shared" si="25"/>
        <v>20</v>
      </c>
      <c r="DO7" s="327">
        <f t="shared" si="26"/>
        <v>65.516510029044156</v>
      </c>
      <c r="DP7" s="327">
        <f t="shared" si="27"/>
        <v>262.06604011617662</v>
      </c>
      <c r="DQ7" s="327">
        <f t="shared" si="27"/>
        <v>196.5495300871325</v>
      </c>
      <c r="DR7" s="327">
        <f t="shared" si="27"/>
        <v>147.41214756534936</v>
      </c>
      <c r="DS7" s="327">
        <f t="shared" si="27"/>
        <v>0</v>
      </c>
      <c r="DT7" s="327">
        <f t="shared" si="27"/>
        <v>0</v>
      </c>
      <c r="DU7" s="327">
        <f t="shared" si="27"/>
        <v>157.239624069706</v>
      </c>
      <c r="DV7" s="327">
        <f t="shared" si="27"/>
        <v>98.274765043566248</v>
      </c>
      <c r="DW7" s="327">
        <f t="shared" si="27"/>
        <v>0</v>
      </c>
      <c r="DX7" s="327">
        <f t="shared" si="27"/>
        <v>0</v>
      </c>
      <c r="DY7" s="327">
        <f t="shared" si="35"/>
        <v>927.05861691097493</v>
      </c>
      <c r="DZ7" s="323">
        <f t="shared" si="28"/>
        <v>3210.3089914231637</v>
      </c>
      <c r="EA7" s="323">
        <f t="shared" si="29"/>
        <v>12841.235965692655</v>
      </c>
      <c r="EB7" s="323">
        <f t="shared" si="29"/>
        <v>1965.4953008713248</v>
      </c>
      <c r="EC7" s="323">
        <f t="shared" si="29"/>
        <v>2948.2429513069874</v>
      </c>
      <c r="ED7" s="323">
        <f t="shared" si="29"/>
        <v>0</v>
      </c>
      <c r="EE7" s="323">
        <f t="shared" si="29"/>
        <v>0</v>
      </c>
      <c r="EF7" s="323">
        <f t="shared" si="29"/>
        <v>1572.39624069706</v>
      </c>
      <c r="EG7" s="323">
        <f t="shared" si="29"/>
        <v>2948.2429513069874</v>
      </c>
      <c r="EH7" s="323">
        <f t="shared" si="29"/>
        <v>0</v>
      </c>
      <c r="EI7" s="323">
        <f t="shared" si="29"/>
        <v>0</v>
      </c>
      <c r="EJ7" s="324">
        <f t="shared" si="36"/>
        <v>25485.922401298179</v>
      </c>
      <c r="EK7" s="327">
        <f t="shared" si="30"/>
        <v>65.516510029044156</v>
      </c>
      <c r="EL7" s="327">
        <f t="shared" si="31"/>
        <v>262.06604011617662</v>
      </c>
      <c r="EM7" s="327">
        <f t="shared" si="31"/>
        <v>0</v>
      </c>
      <c r="EN7" s="327">
        <f t="shared" si="31"/>
        <v>0</v>
      </c>
      <c r="EO7" s="327">
        <f t="shared" si="31"/>
        <v>0</v>
      </c>
      <c r="EP7" s="327">
        <f t="shared" si="31"/>
        <v>0</v>
      </c>
      <c r="EQ7" s="327">
        <f t="shared" si="31"/>
        <v>0</v>
      </c>
      <c r="ER7" s="327">
        <f t="shared" si="31"/>
        <v>0</v>
      </c>
      <c r="ES7" s="327">
        <f t="shared" si="31"/>
        <v>0</v>
      </c>
      <c r="ET7" s="327">
        <f t="shared" si="31"/>
        <v>0</v>
      </c>
      <c r="EU7" s="325">
        <f t="shared" si="37"/>
        <v>327.58255014522081</v>
      </c>
      <c r="EV7" s="328"/>
      <c r="EW7" s="324"/>
      <c r="EX7" s="323"/>
      <c r="EY7" s="328"/>
      <c r="EZ7" s="323"/>
      <c r="FA7" s="323"/>
      <c r="FB7" s="323">
        <f>IF(EZ7&lt;(EW7-FA7),EZ7,(E48-FA7))</f>
        <v>0</v>
      </c>
      <c r="FE7" s="583" t="s">
        <v>1204</v>
      </c>
      <c r="FF7" s="583"/>
      <c r="FG7" s="583"/>
      <c r="FH7" s="583"/>
      <c r="FI7" s="583"/>
      <c r="FJ7" s="583"/>
      <c r="FN7" s="91" t="s">
        <v>1634</v>
      </c>
    </row>
    <row r="8" spans="1:173" ht="35" customHeight="1" x14ac:dyDescent="0.3">
      <c r="A8" s="330" t="s">
        <v>1713</v>
      </c>
      <c r="B8" s="318" t="s">
        <v>1123</v>
      </c>
      <c r="C8" s="318" t="s">
        <v>55</v>
      </c>
      <c r="D8" s="318" t="s">
        <v>93</v>
      </c>
      <c r="E8" s="318" t="s">
        <v>8</v>
      </c>
      <c r="F8" s="318" t="s">
        <v>278</v>
      </c>
      <c r="G8" s="318" t="s">
        <v>724</v>
      </c>
      <c r="H8" s="318" t="s">
        <v>1205</v>
      </c>
      <c r="I8" s="318" t="s">
        <v>1206</v>
      </c>
      <c r="J8" s="318" t="s">
        <v>1045</v>
      </c>
      <c r="K8" s="318" t="s">
        <v>1049</v>
      </c>
      <c r="L8" s="318" t="s">
        <v>1055</v>
      </c>
      <c r="M8" s="318" t="s">
        <v>1062</v>
      </c>
      <c r="N8" s="318" t="s">
        <v>1068</v>
      </c>
      <c r="O8" s="318" t="s">
        <v>1070</v>
      </c>
      <c r="P8" s="318" t="s">
        <v>1077</v>
      </c>
      <c r="Q8" s="318" t="s">
        <v>1082</v>
      </c>
      <c r="R8" s="318" t="s">
        <v>571</v>
      </c>
      <c r="S8" s="318" t="s">
        <v>571</v>
      </c>
      <c r="T8" s="318" t="s">
        <v>1018</v>
      </c>
      <c r="U8" s="318" t="s">
        <v>1018</v>
      </c>
      <c r="V8" s="318" t="s">
        <v>1018</v>
      </c>
      <c r="W8" s="318" t="s">
        <v>1018</v>
      </c>
      <c r="X8" s="318" t="s">
        <v>1018</v>
      </c>
      <c r="Y8" s="318" t="s">
        <v>1018</v>
      </c>
      <c r="Z8" s="318" t="s">
        <v>104</v>
      </c>
      <c r="AA8" s="318" t="s">
        <v>1018</v>
      </c>
      <c r="AB8" s="318" t="s">
        <v>117</v>
      </c>
      <c r="AC8" s="318" t="s">
        <v>117</v>
      </c>
      <c r="AD8" s="318" t="s">
        <v>1771</v>
      </c>
      <c r="AE8" s="318">
        <v>20</v>
      </c>
      <c r="AF8" s="318">
        <v>60</v>
      </c>
      <c r="AG8" s="318">
        <v>2015</v>
      </c>
      <c r="AH8" s="318" t="s">
        <v>982</v>
      </c>
      <c r="AI8" s="318">
        <f t="shared" si="5"/>
        <v>2015</v>
      </c>
      <c r="AJ8" s="318" t="str">
        <f t="shared" si="5"/>
        <v>Actual</v>
      </c>
      <c r="AK8" s="318"/>
      <c r="AL8" s="318"/>
      <c r="AM8" s="317">
        <f>DC8+EW8</f>
        <v>58881.521034535988</v>
      </c>
      <c r="AN8" s="317" t="s">
        <v>800</v>
      </c>
      <c r="AO8" s="511">
        <f>EJ8+FA8</f>
        <v>8761.1152070710559</v>
      </c>
      <c r="AP8" s="511">
        <f>AM8-AO8</f>
        <v>50120.405827464929</v>
      </c>
      <c r="AQ8" s="511">
        <f>EU8+FB8</f>
        <v>1251.5878867244367</v>
      </c>
      <c r="AR8" s="511">
        <f>AP8-AQ8</f>
        <v>48868.81794074049</v>
      </c>
      <c r="AS8" s="511">
        <f>HLOOKUP($C$1,'Inflation Adjustments'!$BI$3:$BT$4,2)*CR8</f>
        <v>103001.25937499999</v>
      </c>
      <c r="AT8" s="511">
        <f>IF(BU8="In Service",'Maintenace Cost Assumptions'!$B$3*AS8,0)</f>
        <v>515.00629687499998</v>
      </c>
      <c r="AU8" s="318">
        <v>5</v>
      </c>
      <c r="AV8" s="318">
        <v>5</v>
      </c>
      <c r="AW8" s="318">
        <v>5</v>
      </c>
      <c r="AX8" s="318">
        <v>5</v>
      </c>
      <c r="AY8" s="318">
        <v>5</v>
      </c>
      <c r="AZ8" s="318">
        <v>5</v>
      </c>
      <c r="BA8" s="318">
        <v>5</v>
      </c>
      <c r="BB8" s="318"/>
      <c r="BC8" s="318"/>
      <c r="BD8" s="318"/>
      <c r="BE8" s="318">
        <v>5</v>
      </c>
      <c r="BF8" s="318"/>
      <c r="BG8" s="332">
        <f>(AU8*'Condition rating weights'!H$8+AV8*'Condition rating weights'!I$8+AW8*'Condition rating weights'!J$8+AX8*'Condition rating weights'!K$8+AY8*'Condition rating weights'!L$8+AZ8*'Condition rating weights'!M$8+BA8*'Condition rating weights'!N$8+BB8*'Condition rating weights'!O$8+BC8*'Condition rating weights'!P$8+BD8*'Condition rating weights'!Q$8+BE8*'Condition rating weights'!R$8+BF8*'Condition rating weights'!S$8)/100</f>
        <v>1</v>
      </c>
      <c r="BH8" s="333">
        <v>1</v>
      </c>
      <c r="BI8" s="333">
        <v>411</v>
      </c>
      <c r="BJ8" s="333" t="s">
        <v>12</v>
      </c>
      <c r="BK8" s="333" t="s">
        <v>959</v>
      </c>
      <c r="BL8" s="333" t="s">
        <v>960</v>
      </c>
      <c r="BM8" s="333" t="s">
        <v>961</v>
      </c>
      <c r="BN8" s="333" t="s">
        <v>117</v>
      </c>
      <c r="BO8" s="333" t="s">
        <v>962</v>
      </c>
      <c r="BP8" s="333" t="s">
        <v>962</v>
      </c>
      <c r="BQ8" s="333" t="s">
        <v>963</v>
      </c>
      <c r="BR8" s="333" t="s">
        <v>964</v>
      </c>
      <c r="BS8" s="333" t="s">
        <v>964</v>
      </c>
      <c r="BT8" s="334" t="s">
        <v>965</v>
      </c>
      <c r="BU8" s="335" t="s">
        <v>1430</v>
      </c>
      <c r="BV8" s="255"/>
      <c r="BY8" s="306" t="str">
        <f>'GRC and TUL Assumptions'!A8</f>
        <v>Exterior Wall Cladding</v>
      </c>
      <c r="BZ8" s="305">
        <f>'GRC and TUL Assumptions'!C8</f>
        <v>150</v>
      </c>
      <c r="CA8" s="305">
        <f>'GRC and TUL Assumptions'!D8</f>
        <v>230</v>
      </c>
      <c r="CB8" s="305">
        <f>'GRC and TUL Assumptions'!E8</f>
        <v>300</v>
      </c>
      <c r="CC8" s="305">
        <v>0</v>
      </c>
      <c r="CD8" s="305">
        <f>'GRC and TUL Assumptions'!F8</f>
        <v>20</v>
      </c>
      <c r="CE8" s="305">
        <f>'GRC and TUL Assumptions'!G8</f>
        <v>30</v>
      </c>
      <c r="CF8" s="305">
        <f>'GRC and TUL Assumptions'!H8</f>
        <v>40</v>
      </c>
      <c r="CG8" s="305">
        <f t="shared" si="32"/>
        <v>20</v>
      </c>
      <c r="CH8" s="323">
        <f t="shared" si="6"/>
        <v>6000</v>
      </c>
      <c r="CI8" s="323">
        <f t="shared" si="7"/>
        <v>30000</v>
      </c>
      <c r="CJ8" s="323">
        <f t="shared" ref="CJ8:CJ20" si="38">(HLOOKUP(V8,$BZ$4:$CD$14,4,TRUE))*$AE8</f>
        <v>6000</v>
      </c>
      <c r="CK8" s="323">
        <f t="shared" si="8"/>
        <v>6000</v>
      </c>
      <c r="CL8" s="323">
        <f t="shared" si="9"/>
        <v>10000</v>
      </c>
      <c r="CM8" s="323">
        <f t="shared" si="10"/>
        <v>6000</v>
      </c>
      <c r="CN8" s="323">
        <f t="shared" si="11"/>
        <v>2000</v>
      </c>
      <c r="CO8" s="323">
        <f t="shared" si="12"/>
        <v>3000</v>
      </c>
      <c r="CP8" s="323">
        <f t="shared" si="13"/>
        <v>0</v>
      </c>
      <c r="CQ8" s="323">
        <f t="shared" si="14"/>
        <v>0</v>
      </c>
      <c r="CR8" s="324">
        <f t="shared" si="33"/>
        <v>69000</v>
      </c>
      <c r="CS8" s="325">
        <f>(HLOOKUP($AI8,'Inflation Adjustments'!$B$3:$BT$4,2,TRUE))*CH8</f>
        <v>5120.1322638726942</v>
      </c>
      <c r="CT8" s="325">
        <f>(HLOOKUP($AI8,'Inflation Adjustments'!$B$3:$BT$4,2,TRUE))*CI8</f>
        <v>25600.661319363473</v>
      </c>
      <c r="CU8" s="325">
        <f>(HLOOKUP($AI8,'Inflation Adjustments'!$B$3:$BT$4,2,TRUE))*CJ8</f>
        <v>5120.1322638726942</v>
      </c>
      <c r="CV8" s="325">
        <f>(HLOOKUP($AI8,'Inflation Adjustments'!$B$3:$BT$4,2,TRUE))*CK8</f>
        <v>5120.1322638726942</v>
      </c>
      <c r="CW8" s="325">
        <f>(HLOOKUP($AI8,'Inflation Adjustments'!$B$3:$BT$4,2,TRUE))*CL8</f>
        <v>8533.5537731211571</v>
      </c>
      <c r="CX8" s="325">
        <f>(HLOOKUP($AI8,'Inflation Adjustments'!$B$3:$BT$4,2,TRUE))*CM8</f>
        <v>5120.1322638726942</v>
      </c>
      <c r="CY8" s="325">
        <f>(HLOOKUP($AI8,'Inflation Adjustments'!$B$3:$BT$4,2,TRUE))*CN8</f>
        <v>1706.7107546242314</v>
      </c>
      <c r="CZ8" s="325">
        <f>(HLOOKUP($AI8,'Inflation Adjustments'!$B$3:$BT$4,2,TRUE))*CO8</f>
        <v>2560.0661319363471</v>
      </c>
      <c r="DA8" s="325">
        <f>(HLOOKUP($AI8,'Inflation Adjustments'!$B$3:$BT$4,2,TRUE))*CP8</f>
        <v>0</v>
      </c>
      <c r="DB8" s="325">
        <f>(HLOOKUP($AI8,'Inflation Adjustments'!$B$3:$BT$4,2,TRUE))*CQ8</f>
        <v>0</v>
      </c>
      <c r="DC8" s="325">
        <f t="shared" si="34"/>
        <v>58881.521034535988</v>
      </c>
      <c r="DD8" s="326">
        <f t="shared" si="15"/>
        <v>7</v>
      </c>
      <c r="DE8" s="323">
        <f t="shared" si="16"/>
        <v>60</v>
      </c>
      <c r="DF8" s="323">
        <f t="shared" si="17"/>
        <v>60</v>
      </c>
      <c r="DG8" s="323">
        <f t="shared" si="18"/>
        <v>30</v>
      </c>
      <c r="DH8" s="323">
        <f t="shared" si="19"/>
        <v>40</v>
      </c>
      <c r="DI8" s="323">
        <f t="shared" si="20"/>
        <v>60</v>
      </c>
      <c r="DJ8" s="323">
        <f t="shared" si="21"/>
        <v>40</v>
      </c>
      <c r="DK8" s="323">
        <f t="shared" si="22"/>
        <v>20</v>
      </c>
      <c r="DL8" s="323">
        <f t="shared" si="23"/>
        <v>30</v>
      </c>
      <c r="DM8" s="323">
        <f t="shared" si="24"/>
        <v>20</v>
      </c>
      <c r="DN8" s="323">
        <f t="shared" si="25"/>
        <v>20</v>
      </c>
      <c r="DO8" s="327">
        <f t="shared" si="26"/>
        <v>85.335537731211573</v>
      </c>
      <c r="DP8" s="327">
        <f t="shared" si="27"/>
        <v>426.67768865605791</v>
      </c>
      <c r="DQ8" s="327">
        <f t="shared" si="27"/>
        <v>170.67107546242315</v>
      </c>
      <c r="DR8" s="327">
        <f t="shared" si="27"/>
        <v>128.00330659681737</v>
      </c>
      <c r="DS8" s="327">
        <f t="shared" si="27"/>
        <v>142.22589621868596</v>
      </c>
      <c r="DT8" s="327">
        <f t="shared" si="27"/>
        <v>128.00330659681737</v>
      </c>
      <c r="DU8" s="327">
        <f t="shared" si="27"/>
        <v>85.335537731211573</v>
      </c>
      <c r="DV8" s="327">
        <f t="shared" si="27"/>
        <v>85.335537731211573</v>
      </c>
      <c r="DW8" s="327">
        <f t="shared" si="27"/>
        <v>0</v>
      </c>
      <c r="DX8" s="327">
        <f t="shared" si="27"/>
        <v>0</v>
      </c>
      <c r="DY8" s="327">
        <f t="shared" si="35"/>
        <v>1251.5878867244367</v>
      </c>
      <c r="DZ8" s="323">
        <f t="shared" si="28"/>
        <v>597.34876411848097</v>
      </c>
      <c r="EA8" s="323">
        <f t="shared" si="29"/>
        <v>2986.7438205924054</v>
      </c>
      <c r="EB8" s="323">
        <f t="shared" si="29"/>
        <v>1194.6975282369619</v>
      </c>
      <c r="EC8" s="323">
        <f t="shared" si="29"/>
        <v>896.02314617772163</v>
      </c>
      <c r="ED8" s="323">
        <f t="shared" si="29"/>
        <v>995.5812735308017</v>
      </c>
      <c r="EE8" s="323">
        <f t="shared" si="29"/>
        <v>896.02314617772163</v>
      </c>
      <c r="EF8" s="323">
        <f t="shared" si="29"/>
        <v>597.34876411848097</v>
      </c>
      <c r="EG8" s="323">
        <f t="shared" si="29"/>
        <v>597.34876411848097</v>
      </c>
      <c r="EH8" s="323">
        <f t="shared" si="29"/>
        <v>0</v>
      </c>
      <c r="EI8" s="323">
        <f t="shared" si="29"/>
        <v>0</v>
      </c>
      <c r="EJ8" s="324">
        <f t="shared" si="36"/>
        <v>8761.1152070710559</v>
      </c>
      <c r="EK8" s="327">
        <f t="shared" si="30"/>
        <v>85.335537731211573</v>
      </c>
      <c r="EL8" s="327">
        <f t="shared" si="31"/>
        <v>426.67768865605791</v>
      </c>
      <c r="EM8" s="327">
        <f t="shared" si="31"/>
        <v>170.67107546242315</v>
      </c>
      <c r="EN8" s="327">
        <f t="shared" si="31"/>
        <v>128.00330659681737</v>
      </c>
      <c r="EO8" s="327">
        <f t="shared" si="31"/>
        <v>142.22589621868596</v>
      </c>
      <c r="EP8" s="327">
        <f t="shared" si="31"/>
        <v>128.00330659681737</v>
      </c>
      <c r="EQ8" s="327">
        <f t="shared" si="31"/>
        <v>85.335537731211573</v>
      </c>
      <c r="ER8" s="327">
        <f t="shared" si="31"/>
        <v>85.335537731211573</v>
      </c>
      <c r="ES8" s="327">
        <f t="shared" si="31"/>
        <v>0</v>
      </c>
      <c r="ET8" s="327">
        <f t="shared" si="31"/>
        <v>0</v>
      </c>
      <c r="EU8" s="325">
        <f t="shared" si="37"/>
        <v>1251.5878867244367</v>
      </c>
      <c r="EV8" s="328"/>
      <c r="EW8" s="336"/>
      <c r="EX8" s="336"/>
      <c r="EY8" s="336"/>
      <c r="EZ8" s="336"/>
      <c r="FA8" s="336"/>
      <c r="FB8" s="336"/>
      <c r="FN8" s="91" t="s">
        <v>1639</v>
      </c>
    </row>
    <row r="9" spans="1:173" ht="56" customHeight="1" x14ac:dyDescent="0.3">
      <c r="A9" s="330"/>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7"/>
      <c r="AN9" s="317"/>
      <c r="AO9" s="511" t="e">
        <f t="shared" ref="AO9:AO20" si="39">EJ9+FA9</f>
        <v>#N/A</v>
      </c>
      <c r="AP9" s="511" t="e">
        <f t="shared" ref="AP9:AP20" si="40">AM9-AO9</f>
        <v>#N/A</v>
      </c>
      <c r="AQ9" s="511" t="e">
        <f t="shared" ref="AQ9:AQ20" si="41">EU9+FB9</f>
        <v>#N/A</v>
      </c>
      <c r="AR9" s="511" t="e">
        <f t="shared" ref="AR9:AR20" si="42">AP9-AQ9</f>
        <v>#N/A</v>
      </c>
      <c r="AS9" s="511" t="e">
        <f>HLOOKUP($C$1,'Inflation Adjustments'!$BI$3:$BT$4,2)*CR9</f>
        <v>#N/A</v>
      </c>
      <c r="AT9" s="511">
        <f>IF(BU9="In Service",'Maintenace Cost Assumptions'!$B$3*AS9,0)</f>
        <v>0</v>
      </c>
      <c r="AU9" s="318"/>
      <c r="AV9" s="318"/>
      <c r="AW9" s="318"/>
      <c r="AX9" s="318"/>
      <c r="AY9" s="318"/>
      <c r="AZ9" s="318"/>
      <c r="BA9" s="318"/>
      <c r="BB9" s="318"/>
      <c r="BC9" s="318"/>
      <c r="BD9" s="318"/>
      <c r="BE9" s="318"/>
      <c r="BF9" s="318"/>
      <c r="BG9" s="332">
        <f>(AU9*'Condition rating weights'!H$8+AV9*'Condition rating weights'!I$8+AW9*'Condition rating weights'!J$8+AX9*'Condition rating weights'!K$8+AY9*'Condition rating weights'!L$8+AZ9*'Condition rating weights'!M$8+BA9*'Condition rating weights'!N$8+BB9*'Condition rating weights'!O$8+BC9*'Condition rating weights'!P$8+BD9*'Condition rating weights'!Q$8+BE9*'Condition rating weights'!R$8+BF9*'Condition rating weights'!S$8)/100</f>
        <v>0</v>
      </c>
      <c r="BH9" s="333"/>
      <c r="BI9" s="333"/>
      <c r="BJ9" s="333"/>
      <c r="BK9" s="333"/>
      <c r="BL9" s="318"/>
      <c r="BM9" s="333"/>
      <c r="BN9" s="333"/>
      <c r="BO9" s="333"/>
      <c r="BP9" s="333"/>
      <c r="BQ9" s="333"/>
      <c r="BR9" s="333"/>
      <c r="BS9" s="333"/>
      <c r="BT9" s="334"/>
      <c r="BU9" s="335"/>
      <c r="BV9" s="255"/>
      <c r="BY9" s="306" t="str">
        <f>'GRC and TUL Assumptions'!A9</f>
        <v>Fitouts</v>
      </c>
      <c r="BZ9" s="305">
        <f>'GRC and TUL Assumptions'!C9</f>
        <v>250</v>
      </c>
      <c r="CA9" s="305">
        <f>'GRC and TUL Assumptions'!D9</f>
        <v>350</v>
      </c>
      <c r="CB9" s="305">
        <f>'GRC and TUL Assumptions'!E9</f>
        <v>500</v>
      </c>
      <c r="CC9" s="305">
        <v>0</v>
      </c>
      <c r="CD9" s="305">
        <f>'GRC and TUL Assumptions'!F9</f>
        <v>40</v>
      </c>
      <c r="CE9" s="305">
        <f>'GRC and TUL Assumptions'!G9</f>
        <v>60</v>
      </c>
      <c r="CF9" s="305">
        <f>'GRC and TUL Assumptions'!H9</f>
        <v>60</v>
      </c>
      <c r="CG9" s="305">
        <f t="shared" si="32"/>
        <v>40</v>
      </c>
      <c r="CH9" s="323" t="e">
        <f t="shared" si="6"/>
        <v>#N/A</v>
      </c>
      <c r="CI9" s="323" t="e">
        <f t="shared" si="7"/>
        <v>#N/A</v>
      </c>
      <c r="CJ9" s="323" t="e">
        <f t="shared" si="38"/>
        <v>#N/A</v>
      </c>
      <c r="CK9" s="323" t="e">
        <f t="shared" si="8"/>
        <v>#N/A</v>
      </c>
      <c r="CL9" s="323" t="e">
        <f t="shared" si="9"/>
        <v>#N/A</v>
      </c>
      <c r="CM9" s="323" t="e">
        <f t="shared" si="10"/>
        <v>#N/A</v>
      </c>
      <c r="CN9" s="323" t="e">
        <f t="shared" si="11"/>
        <v>#N/A</v>
      </c>
      <c r="CO9" s="323" t="e">
        <f t="shared" si="12"/>
        <v>#N/A</v>
      </c>
      <c r="CP9" s="323" t="e">
        <f t="shared" si="13"/>
        <v>#N/A</v>
      </c>
      <c r="CQ9" s="323" t="e">
        <f t="shared" si="14"/>
        <v>#N/A</v>
      </c>
      <c r="CR9" s="324" t="e">
        <f t="shared" si="33"/>
        <v>#N/A</v>
      </c>
      <c r="CS9" s="325" t="e">
        <f>(HLOOKUP($AI9,'Inflation Adjustments'!$B$3:$BT$4,2,TRUE))*CH9</f>
        <v>#N/A</v>
      </c>
      <c r="CT9" s="325" t="e">
        <f>(HLOOKUP($AI9,'Inflation Adjustments'!$B$3:$BT$4,2,TRUE))*CI9</f>
        <v>#N/A</v>
      </c>
      <c r="CU9" s="325" t="e">
        <f>(HLOOKUP($AI9,'Inflation Adjustments'!$B$3:$BT$4,2,TRUE))*CJ9</f>
        <v>#N/A</v>
      </c>
      <c r="CV9" s="325" t="e">
        <f>(HLOOKUP($AI9,'Inflation Adjustments'!$B$3:$BT$4,2,TRUE))*CK9</f>
        <v>#N/A</v>
      </c>
      <c r="CW9" s="325" t="e">
        <f>(HLOOKUP($AI9,'Inflation Adjustments'!$B$3:$BT$4,2,TRUE))*CL9</f>
        <v>#N/A</v>
      </c>
      <c r="CX9" s="325" t="e">
        <f>(HLOOKUP($AI9,'Inflation Adjustments'!$B$3:$BT$4,2,TRUE))*CM9</f>
        <v>#N/A</v>
      </c>
      <c r="CY9" s="325" t="e">
        <f>(HLOOKUP($AI9,'Inflation Adjustments'!$B$3:$BT$4,2,TRUE))*CN9</f>
        <v>#N/A</v>
      </c>
      <c r="CZ9" s="325" t="e">
        <f>(HLOOKUP($AI9,'Inflation Adjustments'!$B$3:$BT$4,2,TRUE))*CO9</f>
        <v>#N/A</v>
      </c>
      <c r="DA9" s="325" t="e">
        <f>(HLOOKUP($AI9,'Inflation Adjustments'!$B$3:$BT$4,2,TRUE))*CP9</f>
        <v>#N/A</v>
      </c>
      <c r="DB9" s="325" t="e">
        <f>(HLOOKUP($AI9,'Inflation Adjustments'!$B$3:$BT$4,2,TRUE))*CQ9</f>
        <v>#N/A</v>
      </c>
      <c r="DC9" s="325" t="e">
        <f t="shared" si="34"/>
        <v>#N/A</v>
      </c>
      <c r="DD9" s="326">
        <f t="shared" si="15"/>
        <v>2022</v>
      </c>
      <c r="DE9" s="323" t="e">
        <f t="shared" si="16"/>
        <v>#N/A</v>
      </c>
      <c r="DF9" s="323" t="e">
        <f t="shared" si="17"/>
        <v>#N/A</v>
      </c>
      <c r="DG9" s="323" t="e">
        <f t="shared" si="18"/>
        <v>#N/A</v>
      </c>
      <c r="DH9" s="323" t="e">
        <f t="shared" si="19"/>
        <v>#N/A</v>
      </c>
      <c r="DI9" s="323" t="e">
        <f t="shared" si="20"/>
        <v>#N/A</v>
      </c>
      <c r="DJ9" s="323" t="e">
        <f t="shared" si="21"/>
        <v>#N/A</v>
      </c>
      <c r="DK9" s="323" t="e">
        <f t="shared" si="22"/>
        <v>#N/A</v>
      </c>
      <c r="DL9" s="323" t="e">
        <f t="shared" si="23"/>
        <v>#N/A</v>
      </c>
      <c r="DM9" s="323" t="e">
        <f t="shared" si="24"/>
        <v>#N/A</v>
      </c>
      <c r="DN9" s="323" t="e">
        <f t="shared" si="25"/>
        <v>#N/A</v>
      </c>
      <c r="DO9" s="327" t="e">
        <f t="shared" si="26"/>
        <v>#N/A</v>
      </c>
      <c r="DP9" s="327" t="e">
        <f t="shared" si="27"/>
        <v>#N/A</v>
      </c>
      <c r="DQ9" s="327" t="e">
        <f t="shared" si="27"/>
        <v>#N/A</v>
      </c>
      <c r="DR9" s="327" t="e">
        <f t="shared" si="27"/>
        <v>#N/A</v>
      </c>
      <c r="DS9" s="327" t="e">
        <f t="shared" si="27"/>
        <v>#N/A</v>
      </c>
      <c r="DT9" s="327" t="e">
        <f t="shared" si="27"/>
        <v>#N/A</v>
      </c>
      <c r="DU9" s="327" t="e">
        <f t="shared" si="27"/>
        <v>#N/A</v>
      </c>
      <c r="DV9" s="327" t="e">
        <f t="shared" si="27"/>
        <v>#N/A</v>
      </c>
      <c r="DW9" s="327" t="e">
        <f t="shared" si="27"/>
        <v>#N/A</v>
      </c>
      <c r="DX9" s="327" t="e">
        <f t="shared" si="27"/>
        <v>#N/A</v>
      </c>
      <c r="DY9" s="327" t="e">
        <f t="shared" si="35"/>
        <v>#N/A</v>
      </c>
      <c r="DZ9" s="323" t="e">
        <f t="shared" si="28"/>
        <v>#N/A</v>
      </c>
      <c r="EA9" s="323" t="e">
        <f t="shared" si="29"/>
        <v>#N/A</v>
      </c>
      <c r="EB9" s="323" t="e">
        <f t="shared" si="29"/>
        <v>#N/A</v>
      </c>
      <c r="EC9" s="323" t="e">
        <f t="shared" si="29"/>
        <v>#N/A</v>
      </c>
      <c r="ED9" s="323" t="e">
        <f t="shared" si="29"/>
        <v>#N/A</v>
      </c>
      <c r="EE9" s="323" t="e">
        <f t="shared" si="29"/>
        <v>#N/A</v>
      </c>
      <c r="EF9" s="323" t="e">
        <f t="shared" si="29"/>
        <v>#N/A</v>
      </c>
      <c r="EG9" s="323" t="e">
        <f t="shared" si="29"/>
        <v>#N/A</v>
      </c>
      <c r="EH9" s="323" t="e">
        <f t="shared" si="29"/>
        <v>#N/A</v>
      </c>
      <c r="EI9" s="323" t="e">
        <f t="shared" si="29"/>
        <v>#N/A</v>
      </c>
      <c r="EJ9" s="324" t="e">
        <f t="shared" si="36"/>
        <v>#N/A</v>
      </c>
      <c r="EK9" s="327" t="e">
        <f t="shared" si="30"/>
        <v>#N/A</v>
      </c>
      <c r="EL9" s="327" t="e">
        <f t="shared" si="31"/>
        <v>#N/A</v>
      </c>
      <c r="EM9" s="327" t="e">
        <f t="shared" si="31"/>
        <v>#N/A</v>
      </c>
      <c r="EN9" s="327" t="e">
        <f t="shared" si="31"/>
        <v>#N/A</v>
      </c>
      <c r="EO9" s="327" t="e">
        <f t="shared" si="31"/>
        <v>#N/A</v>
      </c>
      <c r="EP9" s="327" t="e">
        <f t="shared" si="31"/>
        <v>#N/A</v>
      </c>
      <c r="EQ9" s="327" t="e">
        <f t="shared" si="31"/>
        <v>#N/A</v>
      </c>
      <c r="ER9" s="327" t="e">
        <f t="shared" si="31"/>
        <v>#N/A</v>
      </c>
      <c r="ES9" s="327" t="e">
        <f t="shared" si="31"/>
        <v>#N/A</v>
      </c>
      <c r="ET9" s="327" t="e">
        <f t="shared" si="31"/>
        <v>#N/A</v>
      </c>
      <c r="EU9" s="325" t="e">
        <f t="shared" si="37"/>
        <v>#N/A</v>
      </c>
      <c r="EV9" s="336"/>
      <c r="EW9" s="336"/>
      <c r="EX9" s="336"/>
      <c r="EY9" s="336"/>
      <c r="EZ9" s="336"/>
      <c r="FA9" s="336"/>
      <c r="FB9" s="336"/>
      <c r="FN9" s="91">
        <v>16</v>
      </c>
      <c r="FO9" s="91" t="s">
        <v>1640</v>
      </c>
      <c r="FP9" s="91" t="s">
        <v>1641</v>
      </c>
    </row>
    <row r="10" spans="1:173" ht="56" customHeight="1" x14ac:dyDescent="0.3">
      <c r="A10" s="330"/>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7"/>
      <c r="AN10" s="317"/>
      <c r="AO10" s="511" t="e">
        <f t="shared" si="39"/>
        <v>#N/A</v>
      </c>
      <c r="AP10" s="511" t="e">
        <f t="shared" si="40"/>
        <v>#N/A</v>
      </c>
      <c r="AQ10" s="511" t="e">
        <f t="shared" si="41"/>
        <v>#N/A</v>
      </c>
      <c r="AR10" s="511" t="e">
        <f t="shared" si="42"/>
        <v>#N/A</v>
      </c>
      <c r="AS10" s="511" t="e">
        <f>HLOOKUP($C$1,'Inflation Adjustments'!$BI$3:$BT$4,2)*CR10</f>
        <v>#N/A</v>
      </c>
      <c r="AT10" s="511">
        <f>IF(BU10="In Service",'Maintenace Cost Assumptions'!$B$3*AS10,0)</f>
        <v>0</v>
      </c>
      <c r="AU10" s="318"/>
      <c r="AV10" s="318"/>
      <c r="AW10" s="318"/>
      <c r="AX10" s="318"/>
      <c r="AY10" s="318"/>
      <c r="AZ10" s="318"/>
      <c r="BA10" s="318"/>
      <c r="BB10" s="318"/>
      <c r="BC10" s="318"/>
      <c r="BD10" s="318"/>
      <c r="BE10" s="318"/>
      <c r="BF10" s="318"/>
      <c r="BG10" s="332">
        <f>(AU10*'Condition rating weights'!H$8+AV10*'Condition rating weights'!I$8+AW10*'Condition rating weights'!J$8+AX10*'Condition rating weights'!K$8+AY10*'Condition rating weights'!L$8+AZ10*'Condition rating weights'!M$8+BA10*'Condition rating weights'!N$8+BB10*'Condition rating weights'!O$8+BC10*'Condition rating weights'!P$8+BD10*'Condition rating weights'!Q$8+BE10*'Condition rating weights'!R$8+BF10*'Condition rating weights'!S$8)/100</f>
        <v>0</v>
      </c>
      <c r="BH10" s="333"/>
      <c r="BI10" s="333"/>
      <c r="BJ10" s="333"/>
      <c r="BK10" s="333"/>
      <c r="BL10" s="333"/>
      <c r="BM10" s="333"/>
      <c r="BN10" s="333"/>
      <c r="BO10" s="333"/>
      <c r="BP10" s="333"/>
      <c r="BQ10" s="333"/>
      <c r="BR10" s="333"/>
      <c r="BS10" s="333"/>
      <c r="BT10" s="334"/>
      <c r="BU10" s="335"/>
      <c r="BV10" s="255"/>
      <c r="BY10" s="306" t="str">
        <f>'GRC and TUL Assumptions'!A10</f>
        <v>Floor Covering</v>
      </c>
      <c r="BZ10" s="305">
        <f>'GRC and TUL Assumptions'!C10</f>
        <v>100</v>
      </c>
      <c r="CA10" s="305">
        <f>'GRC and TUL Assumptions'!D10</f>
        <v>150</v>
      </c>
      <c r="CB10" s="305">
        <f>'GRC and TUL Assumptions'!E10</f>
        <v>300</v>
      </c>
      <c r="CC10" s="305">
        <v>0</v>
      </c>
      <c r="CD10" s="305">
        <f>'GRC and TUL Assumptions'!F10</f>
        <v>20</v>
      </c>
      <c r="CE10" s="305">
        <f>'GRC and TUL Assumptions'!G10</f>
        <v>30</v>
      </c>
      <c r="CF10" s="305">
        <f>'GRC and TUL Assumptions'!H10</f>
        <v>40</v>
      </c>
      <c r="CG10" s="305">
        <f t="shared" si="32"/>
        <v>20</v>
      </c>
      <c r="CH10" s="323" t="e">
        <f t="shared" si="6"/>
        <v>#N/A</v>
      </c>
      <c r="CI10" s="323" t="e">
        <f t="shared" si="7"/>
        <v>#N/A</v>
      </c>
      <c r="CJ10" s="323" t="e">
        <f t="shared" si="38"/>
        <v>#N/A</v>
      </c>
      <c r="CK10" s="323" t="e">
        <f t="shared" si="8"/>
        <v>#N/A</v>
      </c>
      <c r="CL10" s="323" t="e">
        <f t="shared" si="9"/>
        <v>#N/A</v>
      </c>
      <c r="CM10" s="323" t="e">
        <f t="shared" si="10"/>
        <v>#N/A</v>
      </c>
      <c r="CN10" s="323" t="e">
        <f t="shared" si="11"/>
        <v>#N/A</v>
      </c>
      <c r="CO10" s="323" t="e">
        <f t="shared" si="12"/>
        <v>#N/A</v>
      </c>
      <c r="CP10" s="323" t="e">
        <f t="shared" si="13"/>
        <v>#N/A</v>
      </c>
      <c r="CQ10" s="323" t="e">
        <f t="shared" si="14"/>
        <v>#N/A</v>
      </c>
      <c r="CR10" s="324" t="e">
        <f t="shared" si="33"/>
        <v>#N/A</v>
      </c>
      <c r="CS10" s="325" t="e">
        <f>(HLOOKUP($AI10,'Inflation Adjustments'!$B$3:$BT$4,2,TRUE))*CH10</f>
        <v>#N/A</v>
      </c>
      <c r="CT10" s="325" t="e">
        <f>(HLOOKUP($AI10,'Inflation Adjustments'!$B$3:$BT$4,2,TRUE))*CI10</f>
        <v>#N/A</v>
      </c>
      <c r="CU10" s="325" t="e">
        <f>(HLOOKUP($AI10,'Inflation Adjustments'!$B$3:$BT$4,2,TRUE))*CJ10</f>
        <v>#N/A</v>
      </c>
      <c r="CV10" s="325" t="e">
        <f>(HLOOKUP($AI10,'Inflation Adjustments'!$B$3:$BT$4,2,TRUE))*CK10</f>
        <v>#N/A</v>
      </c>
      <c r="CW10" s="325" t="e">
        <f>(HLOOKUP($AI10,'Inflation Adjustments'!$B$3:$BT$4,2,TRUE))*CL10</f>
        <v>#N/A</v>
      </c>
      <c r="CX10" s="325" t="e">
        <f>(HLOOKUP($AI10,'Inflation Adjustments'!$B$3:$BT$4,2,TRUE))*CM10</f>
        <v>#N/A</v>
      </c>
      <c r="CY10" s="325" t="e">
        <f>(HLOOKUP($AI10,'Inflation Adjustments'!$B$3:$BT$4,2,TRUE))*CN10</f>
        <v>#N/A</v>
      </c>
      <c r="CZ10" s="325" t="e">
        <f>(HLOOKUP($AI10,'Inflation Adjustments'!$B$3:$BT$4,2,TRUE))*CO10</f>
        <v>#N/A</v>
      </c>
      <c r="DA10" s="325" t="e">
        <f>(HLOOKUP($AI10,'Inflation Adjustments'!$B$3:$BT$4,2,TRUE))*CP10</f>
        <v>#N/A</v>
      </c>
      <c r="DB10" s="325" t="e">
        <f>(HLOOKUP($AI10,'Inflation Adjustments'!$B$3:$BT$4,2,TRUE))*CQ10</f>
        <v>#N/A</v>
      </c>
      <c r="DC10" s="325" t="e">
        <f t="shared" si="34"/>
        <v>#N/A</v>
      </c>
      <c r="DD10" s="326">
        <f t="shared" si="15"/>
        <v>2022</v>
      </c>
      <c r="DE10" s="323" t="e">
        <f t="shared" si="16"/>
        <v>#N/A</v>
      </c>
      <c r="DF10" s="323" t="e">
        <f t="shared" si="17"/>
        <v>#N/A</v>
      </c>
      <c r="DG10" s="323" t="e">
        <f t="shared" si="18"/>
        <v>#N/A</v>
      </c>
      <c r="DH10" s="323" t="e">
        <f t="shared" si="19"/>
        <v>#N/A</v>
      </c>
      <c r="DI10" s="323" t="e">
        <f t="shared" si="20"/>
        <v>#N/A</v>
      </c>
      <c r="DJ10" s="323" t="e">
        <f t="shared" si="21"/>
        <v>#N/A</v>
      </c>
      <c r="DK10" s="323" t="e">
        <f t="shared" si="22"/>
        <v>#N/A</v>
      </c>
      <c r="DL10" s="323" t="e">
        <f t="shared" si="23"/>
        <v>#N/A</v>
      </c>
      <c r="DM10" s="323" t="e">
        <f t="shared" si="24"/>
        <v>#N/A</v>
      </c>
      <c r="DN10" s="323" t="e">
        <f t="shared" si="25"/>
        <v>#N/A</v>
      </c>
      <c r="DO10" s="327" t="e">
        <f t="shared" si="26"/>
        <v>#N/A</v>
      </c>
      <c r="DP10" s="327" t="e">
        <f t="shared" si="27"/>
        <v>#N/A</v>
      </c>
      <c r="DQ10" s="327" t="e">
        <f t="shared" si="27"/>
        <v>#N/A</v>
      </c>
      <c r="DR10" s="327" t="e">
        <f t="shared" si="27"/>
        <v>#N/A</v>
      </c>
      <c r="DS10" s="327" t="e">
        <f t="shared" si="27"/>
        <v>#N/A</v>
      </c>
      <c r="DT10" s="327" t="e">
        <f t="shared" si="27"/>
        <v>#N/A</v>
      </c>
      <c r="DU10" s="327" t="e">
        <f t="shared" si="27"/>
        <v>#N/A</v>
      </c>
      <c r="DV10" s="327" t="e">
        <f t="shared" si="27"/>
        <v>#N/A</v>
      </c>
      <c r="DW10" s="327" t="e">
        <f t="shared" si="27"/>
        <v>#N/A</v>
      </c>
      <c r="DX10" s="327" t="e">
        <f t="shared" si="27"/>
        <v>#N/A</v>
      </c>
      <c r="DY10" s="327" t="e">
        <f t="shared" si="35"/>
        <v>#N/A</v>
      </c>
      <c r="DZ10" s="323" t="e">
        <f t="shared" si="28"/>
        <v>#N/A</v>
      </c>
      <c r="EA10" s="323" t="e">
        <f t="shared" si="29"/>
        <v>#N/A</v>
      </c>
      <c r="EB10" s="323" t="e">
        <f t="shared" si="29"/>
        <v>#N/A</v>
      </c>
      <c r="EC10" s="323" t="e">
        <f t="shared" si="29"/>
        <v>#N/A</v>
      </c>
      <c r="ED10" s="323" t="e">
        <f t="shared" si="29"/>
        <v>#N/A</v>
      </c>
      <c r="EE10" s="323" t="e">
        <f t="shared" si="29"/>
        <v>#N/A</v>
      </c>
      <c r="EF10" s="323" t="e">
        <f t="shared" si="29"/>
        <v>#N/A</v>
      </c>
      <c r="EG10" s="323" t="e">
        <f t="shared" si="29"/>
        <v>#N/A</v>
      </c>
      <c r="EH10" s="323" t="e">
        <f t="shared" si="29"/>
        <v>#N/A</v>
      </c>
      <c r="EI10" s="323" t="e">
        <f t="shared" si="29"/>
        <v>#N/A</v>
      </c>
      <c r="EJ10" s="324" t="e">
        <f t="shared" si="36"/>
        <v>#N/A</v>
      </c>
      <c r="EK10" s="327" t="e">
        <f t="shared" si="30"/>
        <v>#N/A</v>
      </c>
      <c r="EL10" s="327" t="e">
        <f t="shared" si="31"/>
        <v>#N/A</v>
      </c>
      <c r="EM10" s="327" t="e">
        <f t="shared" si="31"/>
        <v>#N/A</v>
      </c>
      <c r="EN10" s="327" t="e">
        <f t="shared" si="31"/>
        <v>#N/A</v>
      </c>
      <c r="EO10" s="327" t="e">
        <f t="shared" si="31"/>
        <v>#N/A</v>
      </c>
      <c r="EP10" s="327" t="e">
        <f t="shared" si="31"/>
        <v>#N/A</v>
      </c>
      <c r="EQ10" s="327" t="e">
        <f t="shared" si="31"/>
        <v>#N/A</v>
      </c>
      <c r="ER10" s="327" t="e">
        <f t="shared" si="31"/>
        <v>#N/A</v>
      </c>
      <c r="ES10" s="327" t="e">
        <f t="shared" si="31"/>
        <v>#N/A</v>
      </c>
      <c r="ET10" s="327" t="e">
        <f t="shared" si="31"/>
        <v>#N/A</v>
      </c>
      <c r="EU10" s="325" t="e">
        <f t="shared" si="37"/>
        <v>#N/A</v>
      </c>
      <c r="EV10" s="336"/>
      <c r="EW10" s="336"/>
      <c r="EX10" s="336"/>
      <c r="EY10" s="336"/>
      <c r="EZ10" s="336"/>
      <c r="FA10" s="336"/>
      <c r="FB10" s="336"/>
      <c r="FN10" s="91" t="s">
        <v>1642</v>
      </c>
    </row>
    <row r="11" spans="1:173" ht="56" customHeight="1" x14ac:dyDescent="0.3">
      <c r="A11" s="330"/>
      <c r="B11" s="318"/>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7"/>
      <c r="AN11" s="317"/>
      <c r="AO11" s="511" t="e">
        <f t="shared" si="39"/>
        <v>#N/A</v>
      </c>
      <c r="AP11" s="511" t="e">
        <f t="shared" si="40"/>
        <v>#N/A</v>
      </c>
      <c r="AQ11" s="511" t="e">
        <f t="shared" si="41"/>
        <v>#N/A</v>
      </c>
      <c r="AR11" s="511" t="e">
        <f t="shared" si="42"/>
        <v>#N/A</v>
      </c>
      <c r="AS11" s="511" t="e">
        <f>HLOOKUP($C$1,'Inflation Adjustments'!$BI$3:$BT$4,2)*CR11</f>
        <v>#N/A</v>
      </c>
      <c r="AT11" s="511">
        <f>IF(BU11="In Service",'Maintenace Cost Assumptions'!$B$3*AS11,0)</f>
        <v>0</v>
      </c>
      <c r="AU11" s="318"/>
      <c r="AV11" s="318"/>
      <c r="AW11" s="318"/>
      <c r="AX11" s="318"/>
      <c r="AY11" s="318"/>
      <c r="AZ11" s="318"/>
      <c r="BA11" s="318"/>
      <c r="BB11" s="318"/>
      <c r="BC11" s="318"/>
      <c r="BD11" s="318"/>
      <c r="BE11" s="318"/>
      <c r="BF11" s="318"/>
      <c r="BG11" s="332">
        <f>(AU11*'Condition rating weights'!H$8+AV11*'Condition rating weights'!I$8+AW11*'Condition rating weights'!J$8+AX11*'Condition rating weights'!K$8+AY11*'Condition rating weights'!L$8+AZ11*'Condition rating weights'!M$8+BA11*'Condition rating weights'!N$8+BB11*'Condition rating weights'!O$8+BC11*'Condition rating weights'!P$8+BD11*'Condition rating weights'!Q$8+BE11*'Condition rating weights'!R$8+BF11*'Condition rating weights'!S$8)/100</f>
        <v>0</v>
      </c>
      <c r="BH11" s="333"/>
      <c r="BI11" s="333"/>
      <c r="BJ11" s="333"/>
      <c r="BK11" s="333"/>
      <c r="BL11" s="333"/>
      <c r="BM11" s="333"/>
      <c r="BN11" s="333"/>
      <c r="BO11" s="333"/>
      <c r="BP11" s="333"/>
      <c r="BQ11" s="333"/>
      <c r="BR11" s="333"/>
      <c r="BS11" s="333"/>
      <c r="BT11" s="334"/>
      <c r="BU11" s="335"/>
      <c r="BV11" s="255"/>
      <c r="BY11" s="306" t="str">
        <f>'GRC and TUL Assumptions'!A11</f>
        <v>Service Mechanical</v>
      </c>
      <c r="BZ11" s="305">
        <f>'GRC and TUL Assumptions'!C11</f>
        <v>80</v>
      </c>
      <c r="CA11" s="305">
        <f>'GRC and TUL Assumptions'!D11</f>
        <v>100</v>
      </c>
      <c r="CB11" s="305">
        <f>'GRC and TUL Assumptions'!E11</f>
        <v>150</v>
      </c>
      <c r="CC11" s="305">
        <v>0</v>
      </c>
      <c r="CD11" s="305">
        <f>'GRC and TUL Assumptions'!F11</f>
        <v>10</v>
      </c>
      <c r="CE11" s="305">
        <f>'GRC and TUL Assumptions'!G11</f>
        <v>20</v>
      </c>
      <c r="CF11" s="305">
        <f>'GRC and TUL Assumptions'!H11</f>
        <v>30</v>
      </c>
      <c r="CG11" s="305">
        <f t="shared" si="32"/>
        <v>10</v>
      </c>
      <c r="CH11" s="323" t="e">
        <f t="shared" si="6"/>
        <v>#N/A</v>
      </c>
      <c r="CI11" s="323" t="e">
        <f t="shared" si="7"/>
        <v>#N/A</v>
      </c>
      <c r="CJ11" s="323" t="e">
        <f t="shared" si="38"/>
        <v>#N/A</v>
      </c>
      <c r="CK11" s="323" t="e">
        <f t="shared" si="8"/>
        <v>#N/A</v>
      </c>
      <c r="CL11" s="323" t="e">
        <f t="shared" si="9"/>
        <v>#N/A</v>
      </c>
      <c r="CM11" s="323" t="e">
        <f t="shared" si="10"/>
        <v>#N/A</v>
      </c>
      <c r="CN11" s="323" t="e">
        <f t="shared" si="11"/>
        <v>#N/A</v>
      </c>
      <c r="CO11" s="323" t="e">
        <f t="shared" si="12"/>
        <v>#N/A</v>
      </c>
      <c r="CP11" s="323" t="e">
        <f t="shared" si="13"/>
        <v>#N/A</v>
      </c>
      <c r="CQ11" s="323" t="e">
        <f t="shared" si="14"/>
        <v>#N/A</v>
      </c>
      <c r="CR11" s="324" t="e">
        <f t="shared" si="33"/>
        <v>#N/A</v>
      </c>
      <c r="CS11" s="325" t="e">
        <f>(HLOOKUP($AI11,'Inflation Adjustments'!$B$3:$BT$4,2,TRUE))*CH11</f>
        <v>#N/A</v>
      </c>
      <c r="CT11" s="325" t="e">
        <f>(HLOOKUP($AI11,'Inflation Adjustments'!$B$3:$BT$4,2,TRUE))*CI11</f>
        <v>#N/A</v>
      </c>
      <c r="CU11" s="325" t="e">
        <f>(HLOOKUP($AI11,'Inflation Adjustments'!$B$3:$BT$4,2,TRUE))*CJ11</f>
        <v>#N/A</v>
      </c>
      <c r="CV11" s="325" t="e">
        <f>(HLOOKUP($AI11,'Inflation Adjustments'!$B$3:$BT$4,2,TRUE))*CK11</f>
        <v>#N/A</v>
      </c>
      <c r="CW11" s="325" t="e">
        <f>(HLOOKUP($AI11,'Inflation Adjustments'!$B$3:$BT$4,2,TRUE))*CL11</f>
        <v>#N/A</v>
      </c>
      <c r="CX11" s="325" t="e">
        <f>(HLOOKUP($AI11,'Inflation Adjustments'!$B$3:$BT$4,2,TRUE))*CM11</f>
        <v>#N/A</v>
      </c>
      <c r="CY11" s="325" t="e">
        <f>(HLOOKUP($AI11,'Inflation Adjustments'!$B$3:$BT$4,2,TRUE))*CN11</f>
        <v>#N/A</v>
      </c>
      <c r="CZ11" s="325" t="e">
        <f>(HLOOKUP($AI11,'Inflation Adjustments'!$B$3:$BT$4,2,TRUE))*CO11</f>
        <v>#N/A</v>
      </c>
      <c r="DA11" s="325" t="e">
        <f>(HLOOKUP($AI11,'Inflation Adjustments'!$B$3:$BT$4,2,TRUE))*CP11</f>
        <v>#N/A</v>
      </c>
      <c r="DB11" s="325" t="e">
        <f>(HLOOKUP($AI11,'Inflation Adjustments'!$B$3:$BT$4,2,TRUE))*CQ11</f>
        <v>#N/A</v>
      </c>
      <c r="DC11" s="325" t="e">
        <f t="shared" si="34"/>
        <v>#N/A</v>
      </c>
      <c r="DD11" s="326">
        <f t="shared" si="15"/>
        <v>2022</v>
      </c>
      <c r="DE11" s="323" t="e">
        <f t="shared" si="16"/>
        <v>#N/A</v>
      </c>
      <c r="DF11" s="323" t="e">
        <f t="shared" si="17"/>
        <v>#N/A</v>
      </c>
      <c r="DG11" s="323" t="e">
        <f t="shared" si="18"/>
        <v>#N/A</v>
      </c>
      <c r="DH11" s="323" t="e">
        <f t="shared" si="19"/>
        <v>#N/A</v>
      </c>
      <c r="DI11" s="323" t="e">
        <f t="shared" si="20"/>
        <v>#N/A</v>
      </c>
      <c r="DJ11" s="323" t="e">
        <f t="shared" si="21"/>
        <v>#N/A</v>
      </c>
      <c r="DK11" s="323" t="e">
        <f t="shared" si="22"/>
        <v>#N/A</v>
      </c>
      <c r="DL11" s="323" t="e">
        <f t="shared" si="23"/>
        <v>#N/A</v>
      </c>
      <c r="DM11" s="323" t="e">
        <f t="shared" si="24"/>
        <v>#N/A</v>
      </c>
      <c r="DN11" s="323" t="e">
        <f t="shared" si="25"/>
        <v>#N/A</v>
      </c>
      <c r="DO11" s="327" t="e">
        <f t="shared" si="26"/>
        <v>#N/A</v>
      </c>
      <c r="DP11" s="327" t="e">
        <f t="shared" si="27"/>
        <v>#N/A</v>
      </c>
      <c r="DQ11" s="327" t="e">
        <f t="shared" si="27"/>
        <v>#N/A</v>
      </c>
      <c r="DR11" s="327" t="e">
        <f t="shared" si="27"/>
        <v>#N/A</v>
      </c>
      <c r="DS11" s="327" t="e">
        <f t="shared" si="27"/>
        <v>#N/A</v>
      </c>
      <c r="DT11" s="327" t="e">
        <f t="shared" si="27"/>
        <v>#N/A</v>
      </c>
      <c r="DU11" s="327" t="e">
        <f t="shared" si="27"/>
        <v>#N/A</v>
      </c>
      <c r="DV11" s="327" t="e">
        <f t="shared" si="27"/>
        <v>#N/A</v>
      </c>
      <c r="DW11" s="327" t="e">
        <f t="shared" si="27"/>
        <v>#N/A</v>
      </c>
      <c r="DX11" s="327" t="e">
        <f t="shared" si="27"/>
        <v>#N/A</v>
      </c>
      <c r="DY11" s="327" t="e">
        <f t="shared" si="35"/>
        <v>#N/A</v>
      </c>
      <c r="DZ11" s="323" t="e">
        <f t="shared" si="28"/>
        <v>#N/A</v>
      </c>
      <c r="EA11" s="323" t="e">
        <f t="shared" si="29"/>
        <v>#N/A</v>
      </c>
      <c r="EB11" s="323" t="e">
        <f t="shared" si="29"/>
        <v>#N/A</v>
      </c>
      <c r="EC11" s="323" t="e">
        <f t="shared" si="29"/>
        <v>#N/A</v>
      </c>
      <c r="ED11" s="323" t="e">
        <f t="shared" si="29"/>
        <v>#N/A</v>
      </c>
      <c r="EE11" s="323" t="e">
        <f t="shared" si="29"/>
        <v>#N/A</v>
      </c>
      <c r="EF11" s="323" t="e">
        <f t="shared" si="29"/>
        <v>#N/A</v>
      </c>
      <c r="EG11" s="323" t="e">
        <f t="shared" si="29"/>
        <v>#N/A</v>
      </c>
      <c r="EH11" s="323" t="e">
        <f t="shared" si="29"/>
        <v>#N/A</v>
      </c>
      <c r="EI11" s="323" t="e">
        <f t="shared" si="29"/>
        <v>#N/A</v>
      </c>
      <c r="EJ11" s="324" t="e">
        <f t="shared" si="36"/>
        <v>#N/A</v>
      </c>
      <c r="EK11" s="327" t="e">
        <f t="shared" si="30"/>
        <v>#N/A</v>
      </c>
      <c r="EL11" s="327" t="e">
        <f t="shared" si="31"/>
        <v>#N/A</v>
      </c>
      <c r="EM11" s="327" t="e">
        <f t="shared" si="31"/>
        <v>#N/A</v>
      </c>
      <c r="EN11" s="327" t="e">
        <f t="shared" si="31"/>
        <v>#N/A</v>
      </c>
      <c r="EO11" s="327" t="e">
        <f t="shared" si="31"/>
        <v>#N/A</v>
      </c>
      <c r="EP11" s="327" t="e">
        <f t="shared" si="31"/>
        <v>#N/A</v>
      </c>
      <c r="EQ11" s="327" t="e">
        <f t="shared" si="31"/>
        <v>#N/A</v>
      </c>
      <c r="ER11" s="327" t="e">
        <f t="shared" si="31"/>
        <v>#N/A</v>
      </c>
      <c r="ES11" s="327" t="e">
        <f t="shared" si="31"/>
        <v>#N/A</v>
      </c>
      <c r="ET11" s="327" t="e">
        <f t="shared" si="31"/>
        <v>#N/A</v>
      </c>
      <c r="EU11" s="325" t="e">
        <f t="shared" si="37"/>
        <v>#N/A</v>
      </c>
      <c r="EV11" s="336"/>
      <c r="EW11" s="336"/>
      <c r="EX11" s="336"/>
      <c r="EY11" s="336"/>
      <c r="EZ11" s="336"/>
      <c r="FA11" s="336"/>
      <c r="FB11" s="336"/>
      <c r="FN11" s="91" t="s">
        <v>1643</v>
      </c>
    </row>
    <row r="12" spans="1:173" ht="56" customHeight="1" x14ac:dyDescent="0.3">
      <c r="A12" s="330"/>
      <c r="B12" s="318"/>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7"/>
      <c r="AN12" s="317"/>
      <c r="AO12" s="511" t="e">
        <f t="shared" si="39"/>
        <v>#N/A</v>
      </c>
      <c r="AP12" s="511" t="e">
        <f t="shared" si="40"/>
        <v>#N/A</v>
      </c>
      <c r="AQ12" s="511" t="e">
        <f t="shared" si="41"/>
        <v>#N/A</v>
      </c>
      <c r="AR12" s="511" t="e">
        <f t="shared" si="42"/>
        <v>#N/A</v>
      </c>
      <c r="AS12" s="511" t="e">
        <f>HLOOKUP($C$1,'Inflation Adjustments'!$BI$3:$BT$4,2)*CR12</f>
        <v>#N/A</v>
      </c>
      <c r="AT12" s="511">
        <f>IF(BU12="In Service",'Maintenace Cost Assumptions'!$B$3*AS12,0)</f>
        <v>0</v>
      </c>
      <c r="AU12" s="318"/>
      <c r="AV12" s="318"/>
      <c r="AW12" s="318"/>
      <c r="AX12" s="318"/>
      <c r="AY12" s="318"/>
      <c r="AZ12" s="318"/>
      <c r="BA12" s="318"/>
      <c r="BB12" s="318"/>
      <c r="BC12" s="318"/>
      <c r="BD12" s="318"/>
      <c r="BE12" s="318"/>
      <c r="BF12" s="318"/>
      <c r="BG12" s="332">
        <f>(AU12*'Condition rating weights'!H$8+AV12*'Condition rating weights'!I$8+AW12*'Condition rating weights'!J$8+AX12*'Condition rating weights'!K$8+AY12*'Condition rating weights'!L$8+AZ12*'Condition rating weights'!M$8+BA12*'Condition rating weights'!N$8+BB12*'Condition rating weights'!O$8+BC12*'Condition rating weights'!P$8+BD12*'Condition rating weights'!Q$8+BE12*'Condition rating weights'!R$8+BF12*'Condition rating weights'!S$8)/100</f>
        <v>0</v>
      </c>
      <c r="BH12" s="333"/>
      <c r="BI12" s="333"/>
      <c r="BJ12" s="333"/>
      <c r="BK12" s="333"/>
      <c r="BL12" s="333"/>
      <c r="BM12" s="333"/>
      <c r="BN12" s="333"/>
      <c r="BO12" s="333"/>
      <c r="BP12" s="333"/>
      <c r="BQ12" s="333"/>
      <c r="BR12" s="333"/>
      <c r="BS12" s="333"/>
      <c r="BT12" s="334"/>
      <c r="BU12" s="335"/>
      <c r="BV12" s="255"/>
      <c r="BY12" s="306" t="str">
        <f>'GRC and TUL Assumptions'!A12</f>
        <v>Services Electrical</v>
      </c>
      <c r="BZ12" s="305">
        <f>'GRC and TUL Assumptions'!C12</f>
        <v>80</v>
      </c>
      <c r="CA12" s="305">
        <f>'GRC and TUL Assumptions'!D12</f>
        <v>100</v>
      </c>
      <c r="CB12" s="305">
        <f>'GRC and TUL Assumptions'!E12</f>
        <v>150</v>
      </c>
      <c r="CC12" s="305">
        <v>0</v>
      </c>
      <c r="CD12" s="305">
        <f>'GRC and TUL Assumptions'!F12</f>
        <v>20</v>
      </c>
      <c r="CE12" s="305">
        <f>'GRC and TUL Assumptions'!G12</f>
        <v>30</v>
      </c>
      <c r="CF12" s="305">
        <f>'GRC and TUL Assumptions'!H12</f>
        <v>40</v>
      </c>
      <c r="CG12" s="305">
        <f t="shared" si="32"/>
        <v>20</v>
      </c>
      <c r="CH12" s="323" t="e">
        <f t="shared" si="6"/>
        <v>#N/A</v>
      </c>
      <c r="CI12" s="323" t="e">
        <f t="shared" si="7"/>
        <v>#N/A</v>
      </c>
      <c r="CJ12" s="323" t="e">
        <f t="shared" si="38"/>
        <v>#N/A</v>
      </c>
      <c r="CK12" s="323" t="e">
        <f t="shared" si="8"/>
        <v>#N/A</v>
      </c>
      <c r="CL12" s="323" t="e">
        <f t="shared" si="9"/>
        <v>#N/A</v>
      </c>
      <c r="CM12" s="323" t="e">
        <f t="shared" si="10"/>
        <v>#N/A</v>
      </c>
      <c r="CN12" s="323" t="e">
        <f t="shared" si="11"/>
        <v>#N/A</v>
      </c>
      <c r="CO12" s="323" t="e">
        <f t="shared" si="12"/>
        <v>#N/A</v>
      </c>
      <c r="CP12" s="323" t="e">
        <f t="shared" si="13"/>
        <v>#N/A</v>
      </c>
      <c r="CQ12" s="323" t="e">
        <f t="shared" si="14"/>
        <v>#N/A</v>
      </c>
      <c r="CR12" s="324" t="e">
        <f t="shared" si="33"/>
        <v>#N/A</v>
      </c>
      <c r="CS12" s="325" t="e">
        <f>(HLOOKUP($AI12,'Inflation Adjustments'!$B$3:$BT$4,2,TRUE))*CH12</f>
        <v>#N/A</v>
      </c>
      <c r="CT12" s="325" t="e">
        <f>(HLOOKUP($AI12,'Inflation Adjustments'!$B$3:$BT$4,2,TRUE))*CI12</f>
        <v>#N/A</v>
      </c>
      <c r="CU12" s="325" t="e">
        <f>(HLOOKUP($AI12,'Inflation Adjustments'!$B$3:$BT$4,2,TRUE))*CJ12</f>
        <v>#N/A</v>
      </c>
      <c r="CV12" s="325" t="e">
        <f>(HLOOKUP($AI12,'Inflation Adjustments'!$B$3:$BT$4,2,TRUE))*CK12</f>
        <v>#N/A</v>
      </c>
      <c r="CW12" s="325" t="e">
        <f>(HLOOKUP($AI12,'Inflation Adjustments'!$B$3:$BT$4,2,TRUE))*CL12</f>
        <v>#N/A</v>
      </c>
      <c r="CX12" s="325" t="e">
        <f>(HLOOKUP($AI12,'Inflation Adjustments'!$B$3:$BT$4,2,TRUE))*CM12</f>
        <v>#N/A</v>
      </c>
      <c r="CY12" s="325" t="e">
        <f>(HLOOKUP($AI12,'Inflation Adjustments'!$B$3:$BT$4,2,TRUE))*CN12</f>
        <v>#N/A</v>
      </c>
      <c r="CZ12" s="325" t="e">
        <f>(HLOOKUP($AI12,'Inflation Adjustments'!$B$3:$BT$4,2,TRUE))*CO12</f>
        <v>#N/A</v>
      </c>
      <c r="DA12" s="325" t="e">
        <f>(HLOOKUP($AI12,'Inflation Adjustments'!$B$3:$BT$4,2,TRUE))*CP12</f>
        <v>#N/A</v>
      </c>
      <c r="DB12" s="325" t="e">
        <f>(HLOOKUP($AI12,'Inflation Adjustments'!$B$3:$BT$4,2,TRUE))*CQ12</f>
        <v>#N/A</v>
      </c>
      <c r="DC12" s="325" t="e">
        <f t="shared" si="34"/>
        <v>#N/A</v>
      </c>
      <c r="DD12" s="326">
        <f t="shared" si="15"/>
        <v>2022</v>
      </c>
      <c r="DE12" s="323" t="e">
        <f t="shared" si="16"/>
        <v>#N/A</v>
      </c>
      <c r="DF12" s="323" t="e">
        <f t="shared" si="17"/>
        <v>#N/A</v>
      </c>
      <c r="DG12" s="323" t="e">
        <f t="shared" si="18"/>
        <v>#N/A</v>
      </c>
      <c r="DH12" s="323" t="e">
        <f t="shared" si="19"/>
        <v>#N/A</v>
      </c>
      <c r="DI12" s="323" t="e">
        <f t="shared" si="20"/>
        <v>#N/A</v>
      </c>
      <c r="DJ12" s="323" t="e">
        <f t="shared" si="21"/>
        <v>#N/A</v>
      </c>
      <c r="DK12" s="323" t="e">
        <f t="shared" si="22"/>
        <v>#N/A</v>
      </c>
      <c r="DL12" s="323" t="e">
        <f t="shared" si="23"/>
        <v>#N/A</v>
      </c>
      <c r="DM12" s="323" t="e">
        <f t="shared" si="24"/>
        <v>#N/A</v>
      </c>
      <c r="DN12" s="323" t="e">
        <f t="shared" si="25"/>
        <v>#N/A</v>
      </c>
      <c r="DO12" s="327" t="e">
        <f t="shared" si="26"/>
        <v>#N/A</v>
      </c>
      <c r="DP12" s="327" t="e">
        <f t="shared" si="27"/>
        <v>#N/A</v>
      </c>
      <c r="DQ12" s="327" t="e">
        <f t="shared" si="27"/>
        <v>#N/A</v>
      </c>
      <c r="DR12" s="327" t="e">
        <f t="shared" si="27"/>
        <v>#N/A</v>
      </c>
      <c r="DS12" s="327" t="e">
        <f t="shared" si="27"/>
        <v>#N/A</v>
      </c>
      <c r="DT12" s="327" t="e">
        <f t="shared" si="27"/>
        <v>#N/A</v>
      </c>
      <c r="DU12" s="327" t="e">
        <f t="shared" si="27"/>
        <v>#N/A</v>
      </c>
      <c r="DV12" s="327" t="e">
        <f t="shared" si="27"/>
        <v>#N/A</v>
      </c>
      <c r="DW12" s="327" t="e">
        <f t="shared" si="27"/>
        <v>#N/A</v>
      </c>
      <c r="DX12" s="327" t="e">
        <f t="shared" si="27"/>
        <v>#N/A</v>
      </c>
      <c r="DY12" s="327" t="e">
        <f t="shared" si="35"/>
        <v>#N/A</v>
      </c>
      <c r="DZ12" s="323" t="e">
        <f t="shared" si="28"/>
        <v>#N/A</v>
      </c>
      <c r="EA12" s="323" t="e">
        <f t="shared" si="29"/>
        <v>#N/A</v>
      </c>
      <c r="EB12" s="323" t="e">
        <f t="shared" si="29"/>
        <v>#N/A</v>
      </c>
      <c r="EC12" s="323" t="e">
        <f t="shared" si="29"/>
        <v>#N/A</v>
      </c>
      <c r="ED12" s="323" t="e">
        <f t="shared" si="29"/>
        <v>#N/A</v>
      </c>
      <c r="EE12" s="323" t="e">
        <f t="shared" si="29"/>
        <v>#N/A</v>
      </c>
      <c r="EF12" s="323" t="e">
        <f t="shared" si="29"/>
        <v>#N/A</v>
      </c>
      <c r="EG12" s="323" t="e">
        <f t="shared" si="29"/>
        <v>#N/A</v>
      </c>
      <c r="EH12" s="323" t="e">
        <f t="shared" si="29"/>
        <v>#N/A</v>
      </c>
      <c r="EI12" s="323" t="e">
        <f t="shared" si="29"/>
        <v>#N/A</v>
      </c>
      <c r="EJ12" s="324" t="e">
        <f t="shared" si="36"/>
        <v>#N/A</v>
      </c>
      <c r="EK12" s="327" t="e">
        <f t="shared" si="30"/>
        <v>#N/A</v>
      </c>
      <c r="EL12" s="327" t="e">
        <f t="shared" si="31"/>
        <v>#N/A</v>
      </c>
      <c r="EM12" s="327" t="e">
        <f t="shared" si="31"/>
        <v>#N/A</v>
      </c>
      <c r="EN12" s="327" t="e">
        <f t="shared" si="31"/>
        <v>#N/A</v>
      </c>
      <c r="EO12" s="327" t="e">
        <f t="shared" si="31"/>
        <v>#N/A</v>
      </c>
      <c r="EP12" s="327" t="e">
        <f t="shared" si="31"/>
        <v>#N/A</v>
      </c>
      <c r="EQ12" s="327" t="e">
        <f t="shared" si="31"/>
        <v>#N/A</v>
      </c>
      <c r="ER12" s="327" t="e">
        <f t="shared" si="31"/>
        <v>#N/A</v>
      </c>
      <c r="ES12" s="327" t="e">
        <f t="shared" si="31"/>
        <v>#N/A</v>
      </c>
      <c r="ET12" s="327" t="e">
        <f t="shared" si="31"/>
        <v>#N/A</v>
      </c>
      <c r="EU12" s="325" t="e">
        <f t="shared" si="37"/>
        <v>#N/A</v>
      </c>
      <c r="EV12" s="336"/>
      <c r="EW12" s="336"/>
      <c r="EX12" s="336"/>
      <c r="EY12" s="336"/>
      <c r="EZ12" s="336"/>
      <c r="FA12" s="336"/>
      <c r="FB12" s="336"/>
      <c r="FN12" s="91" t="s">
        <v>1644</v>
      </c>
    </row>
    <row r="13" spans="1:173" ht="64" customHeight="1" x14ac:dyDescent="0.3">
      <c r="A13" s="330"/>
      <c r="B13" s="318"/>
      <c r="C13" s="318"/>
      <c r="D13" s="318"/>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7"/>
      <c r="AN13" s="317"/>
      <c r="AO13" s="511" t="e">
        <f t="shared" si="39"/>
        <v>#N/A</v>
      </c>
      <c r="AP13" s="511" t="e">
        <f t="shared" si="40"/>
        <v>#N/A</v>
      </c>
      <c r="AQ13" s="511" t="e">
        <f t="shared" si="41"/>
        <v>#N/A</v>
      </c>
      <c r="AR13" s="511" t="e">
        <f t="shared" si="42"/>
        <v>#N/A</v>
      </c>
      <c r="AS13" s="511" t="e">
        <f>HLOOKUP($C$1,'Inflation Adjustments'!$BI$3:$BT$4,2)*CR13</f>
        <v>#N/A</v>
      </c>
      <c r="AT13" s="511">
        <f>IF(BU13="In Service",'Maintenace Cost Assumptions'!$B$3*AS13,0)</f>
        <v>0</v>
      </c>
      <c r="AU13" s="318"/>
      <c r="AV13" s="318"/>
      <c r="AW13" s="318"/>
      <c r="AX13" s="318"/>
      <c r="AY13" s="318"/>
      <c r="AZ13" s="318"/>
      <c r="BA13" s="318"/>
      <c r="BB13" s="318"/>
      <c r="BC13" s="318"/>
      <c r="BD13" s="318"/>
      <c r="BE13" s="318"/>
      <c r="BF13" s="318"/>
      <c r="BG13" s="332">
        <f>(AU13*'Condition rating weights'!H$8+AV13*'Condition rating weights'!I$8+AW13*'Condition rating weights'!J$8+AX13*'Condition rating weights'!K$8+AY13*'Condition rating weights'!L$8+AZ13*'Condition rating weights'!M$8+BA13*'Condition rating weights'!N$8+BB13*'Condition rating weights'!O$8+BC13*'Condition rating weights'!P$8+BD13*'Condition rating weights'!Q$8+BE13*'Condition rating weights'!R$8+BF13*'Condition rating weights'!S$8)/100</f>
        <v>0</v>
      </c>
      <c r="BH13" s="333"/>
      <c r="BI13" s="333"/>
      <c r="BJ13" s="333"/>
      <c r="BK13" s="333"/>
      <c r="BL13" s="333"/>
      <c r="BM13" s="333"/>
      <c r="BN13" s="333"/>
      <c r="BO13" s="333"/>
      <c r="BP13" s="333"/>
      <c r="BQ13" s="333"/>
      <c r="BR13" s="333"/>
      <c r="BS13" s="333"/>
      <c r="BT13" s="334"/>
      <c r="BU13" s="335"/>
      <c r="BV13" s="255"/>
      <c r="BY13" s="306" t="str">
        <f>'GRC and TUL Assumptions'!A13</f>
        <v>Services Sanitation</v>
      </c>
      <c r="BZ13" s="305">
        <f>'GRC and TUL Assumptions'!C13</f>
        <v>100</v>
      </c>
      <c r="CA13" s="305">
        <f>'GRC and TUL Assumptions'!D13</f>
        <v>130</v>
      </c>
      <c r="CB13" s="305">
        <f>'GRC and TUL Assumptions'!E13</f>
        <v>150</v>
      </c>
      <c r="CC13" s="305">
        <v>0</v>
      </c>
      <c r="CD13" s="305">
        <f>'GRC and TUL Assumptions'!F13</f>
        <v>20</v>
      </c>
      <c r="CE13" s="305">
        <f>'GRC and TUL Assumptions'!G13</f>
        <v>30</v>
      </c>
      <c r="CF13" s="305">
        <f>'GRC and TUL Assumptions'!H13</f>
        <v>40</v>
      </c>
      <c r="CG13" s="305">
        <f t="shared" si="32"/>
        <v>20</v>
      </c>
      <c r="CH13" s="323" t="e">
        <f t="shared" si="6"/>
        <v>#N/A</v>
      </c>
      <c r="CI13" s="323" t="e">
        <f t="shared" si="7"/>
        <v>#N/A</v>
      </c>
      <c r="CJ13" s="323" t="e">
        <f t="shared" si="38"/>
        <v>#N/A</v>
      </c>
      <c r="CK13" s="323" t="e">
        <f t="shared" si="8"/>
        <v>#N/A</v>
      </c>
      <c r="CL13" s="323" t="e">
        <f t="shared" si="9"/>
        <v>#N/A</v>
      </c>
      <c r="CM13" s="323" t="e">
        <f t="shared" si="10"/>
        <v>#N/A</v>
      </c>
      <c r="CN13" s="323" t="e">
        <f t="shared" si="11"/>
        <v>#N/A</v>
      </c>
      <c r="CO13" s="323" t="e">
        <f t="shared" si="12"/>
        <v>#N/A</v>
      </c>
      <c r="CP13" s="323" t="e">
        <f t="shared" si="13"/>
        <v>#N/A</v>
      </c>
      <c r="CQ13" s="323" t="e">
        <f t="shared" si="14"/>
        <v>#N/A</v>
      </c>
      <c r="CR13" s="324" t="e">
        <f t="shared" si="33"/>
        <v>#N/A</v>
      </c>
      <c r="CS13" s="325" t="e">
        <f>(HLOOKUP($AI13,'Inflation Adjustments'!$B$3:$BT$4,2,TRUE))*CH13</f>
        <v>#N/A</v>
      </c>
      <c r="CT13" s="325" t="e">
        <f>(HLOOKUP($AI13,'Inflation Adjustments'!$B$3:$BT$4,2,TRUE))*CI13</f>
        <v>#N/A</v>
      </c>
      <c r="CU13" s="325" t="e">
        <f>(HLOOKUP($AI13,'Inflation Adjustments'!$B$3:$BT$4,2,TRUE))*CJ13</f>
        <v>#N/A</v>
      </c>
      <c r="CV13" s="325" t="e">
        <f>(HLOOKUP($AI13,'Inflation Adjustments'!$B$3:$BT$4,2,TRUE))*CK13</f>
        <v>#N/A</v>
      </c>
      <c r="CW13" s="325" t="e">
        <f>(HLOOKUP($AI13,'Inflation Adjustments'!$B$3:$BT$4,2,TRUE))*CL13</f>
        <v>#N/A</v>
      </c>
      <c r="CX13" s="325" t="e">
        <f>(HLOOKUP($AI13,'Inflation Adjustments'!$B$3:$BT$4,2,TRUE))*CM13</f>
        <v>#N/A</v>
      </c>
      <c r="CY13" s="325" t="e">
        <f>(HLOOKUP($AI13,'Inflation Adjustments'!$B$3:$BT$4,2,TRUE))*CN13</f>
        <v>#N/A</v>
      </c>
      <c r="CZ13" s="325" t="e">
        <f>(HLOOKUP($AI13,'Inflation Adjustments'!$B$3:$BT$4,2,TRUE))*CO13</f>
        <v>#N/A</v>
      </c>
      <c r="DA13" s="325" t="e">
        <f>(HLOOKUP($AI13,'Inflation Adjustments'!$B$3:$BT$4,2,TRUE))*CP13</f>
        <v>#N/A</v>
      </c>
      <c r="DB13" s="325" t="e">
        <f>(HLOOKUP($AI13,'Inflation Adjustments'!$B$3:$BT$4,2,TRUE))*CQ13</f>
        <v>#N/A</v>
      </c>
      <c r="DC13" s="325" t="e">
        <f t="shared" si="34"/>
        <v>#N/A</v>
      </c>
      <c r="DD13" s="326">
        <f t="shared" si="15"/>
        <v>2022</v>
      </c>
      <c r="DE13" s="323" t="e">
        <f t="shared" si="16"/>
        <v>#N/A</v>
      </c>
      <c r="DF13" s="323" t="e">
        <f t="shared" si="17"/>
        <v>#N/A</v>
      </c>
      <c r="DG13" s="323" t="e">
        <f t="shared" si="18"/>
        <v>#N/A</v>
      </c>
      <c r="DH13" s="323" t="e">
        <f t="shared" si="19"/>
        <v>#N/A</v>
      </c>
      <c r="DI13" s="323" t="e">
        <f t="shared" si="20"/>
        <v>#N/A</v>
      </c>
      <c r="DJ13" s="323" t="e">
        <f t="shared" si="21"/>
        <v>#N/A</v>
      </c>
      <c r="DK13" s="323" t="e">
        <f t="shared" si="22"/>
        <v>#N/A</v>
      </c>
      <c r="DL13" s="323" t="e">
        <f t="shared" si="23"/>
        <v>#N/A</v>
      </c>
      <c r="DM13" s="323" t="e">
        <f t="shared" si="24"/>
        <v>#N/A</v>
      </c>
      <c r="DN13" s="323" t="e">
        <f t="shared" si="25"/>
        <v>#N/A</v>
      </c>
      <c r="DO13" s="327" t="e">
        <f t="shared" si="26"/>
        <v>#N/A</v>
      </c>
      <c r="DP13" s="327" t="e">
        <f t="shared" si="27"/>
        <v>#N/A</v>
      </c>
      <c r="DQ13" s="327" t="e">
        <f t="shared" si="27"/>
        <v>#N/A</v>
      </c>
      <c r="DR13" s="327" t="e">
        <f t="shared" si="27"/>
        <v>#N/A</v>
      </c>
      <c r="DS13" s="327" t="e">
        <f t="shared" si="27"/>
        <v>#N/A</v>
      </c>
      <c r="DT13" s="327" t="e">
        <f t="shared" si="27"/>
        <v>#N/A</v>
      </c>
      <c r="DU13" s="327" t="e">
        <f t="shared" si="27"/>
        <v>#N/A</v>
      </c>
      <c r="DV13" s="327" t="e">
        <f t="shared" si="27"/>
        <v>#N/A</v>
      </c>
      <c r="DW13" s="327" t="e">
        <f t="shared" si="27"/>
        <v>#N/A</v>
      </c>
      <c r="DX13" s="327" t="e">
        <f t="shared" si="27"/>
        <v>#N/A</v>
      </c>
      <c r="DY13" s="327" t="e">
        <f t="shared" si="35"/>
        <v>#N/A</v>
      </c>
      <c r="DZ13" s="323" t="e">
        <f t="shared" si="28"/>
        <v>#N/A</v>
      </c>
      <c r="EA13" s="323" t="e">
        <f t="shared" si="29"/>
        <v>#N/A</v>
      </c>
      <c r="EB13" s="323" t="e">
        <f t="shared" si="29"/>
        <v>#N/A</v>
      </c>
      <c r="EC13" s="323" t="e">
        <f t="shared" si="29"/>
        <v>#N/A</v>
      </c>
      <c r="ED13" s="323" t="e">
        <f t="shared" si="29"/>
        <v>#N/A</v>
      </c>
      <c r="EE13" s="323" t="e">
        <f t="shared" si="29"/>
        <v>#N/A</v>
      </c>
      <c r="EF13" s="323" t="e">
        <f t="shared" si="29"/>
        <v>#N/A</v>
      </c>
      <c r="EG13" s="323" t="e">
        <f t="shared" si="29"/>
        <v>#N/A</v>
      </c>
      <c r="EH13" s="323" t="e">
        <f t="shared" si="29"/>
        <v>#N/A</v>
      </c>
      <c r="EI13" s="323" t="e">
        <f t="shared" si="29"/>
        <v>#N/A</v>
      </c>
      <c r="EJ13" s="324" t="e">
        <f t="shared" si="36"/>
        <v>#N/A</v>
      </c>
      <c r="EK13" s="327" t="e">
        <f t="shared" si="30"/>
        <v>#N/A</v>
      </c>
      <c r="EL13" s="327" t="e">
        <f t="shared" si="31"/>
        <v>#N/A</v>
      </c>
      <c r="EM13" s="327" t="e">
        <f t="shared" si="31"/>
        <v>#N/A</v>
      </c>
      <c r="EN13" s="327" t="e">
        <f t="shared" si="31"/>
        <v>#N/A</v>
      </c>
      <c r="EO13" s="327" t="e">
        <f t="shared" si="31"/>
        <v>#N/A</v>
      </c>
      <c r="EP13" s="327" t="e">
        <f t="shared" si="31"/>
        <v>#N/A</v>
      </c>
      <c r="EQ13" s="327" t="e">
        <f t="shared" si="31"/>
        <v>#N/A</v>
      </c>
      <c r="ER13" s="327" t="e">
        <f t="shared" si="31"/>
        <v>#N/A</v>
      </c>
      <c r="ES13" s="327" t="e">
        <f t="shared" si="31"/>
        <v>#N/A</v>
      </c>
      <c r="ET13" s="327" t="e">
        <f t="shared" si="31"/>
        <v>#N/A</v>
      </c>
      <c r="EU13" s="325" t="e">
        <f t="shared" si="37"/>
        <v>#N/A</v>
      </c>
      <c r="EV13" s="336"/>
      <c r="EW13" s="336"/>
      <c r="EX13" s="336"/>
      <c r="EY13" s="336"/>
      <c r="EZ13" s="336"/>
      <c r="FA13" s="336"/>
      <c r="FB13" s="336"/>
      <c r="FN13" s="91" t="s">
        <v>1645</v>
      </c>
    </row>
    <row r="14" spans="1:173" ht="66.5" customHeight="1" x14ac:dyDescent="0.3">
      <c r="A14" s="330"/>
      <c r="B14" s="318"/>
      <c r="C14" s="318"/>
      <c r="D14" s="318"/>
      <c r="E14" s="318"/>
      <c r="F14" s="318"/>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7"/>
      <c r="AN14" s="317"/>
      <c r="AO14" s="511" t="e">
        <f t="shared" si="39"/>
        <v>#N/A</v>
      </c>
      <c r="AP14" s="511" t="e">
        <f t="shared" si="40"/>
        <v>#N/A</v>
      </c>
      <c r="AQ14" s="511" t="e">
        <f t="shared" si="41"/>
        <v>#N/A</v>
      </c>
      <c r="AR14" s="511" t="e">
        <f t="shared" si="42"/>
        <v>#N/A</v>
      </c>
      <c r="AS14" s="511" t="e">
        <f>HLOOKUP($C$1,'Inflation Adjustments'!$BI$3:$BT$4,2)*CR14</f>
        <v>#N/A</v>
      </c>
      <c r="AT14" s="511">
        <f>IF(BU14="In Service",'Maintenace Cost Assumptions'!$B$3*AS14,0)</f>
        <v>0</v>
      </c>
      <c r="AU14" s="318"/>
      <c r="AV14" s="318"/>
      <c r="AW14" s="318"/>
      <c r="AX14" s="318"/>
      <c r="AY14" s="318"/>
      <c r="AZ14" s="318"/>
      <c r="BA14" s="318"/>
      <c r="BB14" s="318"/>
      <c r="BC14" s="318"/>
      <c r="BD14" s="318"/>
      <c r="BE14" s="318"/>
      <c r="BF14" s="318"/>
      <c r="BG14" s="332">
        <f>(AU14*'Condition rating weights'!H$8+AV14*'Condition rating weights'!I$8+AW14*'Condition rating weights'!J$8+AX14*'Condition rating weights'!K$8+AY14*'Condition rating weights'!L$8+AZ14*'Condition rating weights'!M$8+BA14*'Condition rating weights'!N$8+BB14*'Condition rating weights'!O$8+BC14*'Condition rating weights'!P$8+BD14*'Condition rating weights'!Q$8+BE14*'Condition rating weights'!R$8+BF14*'Condition rating weights'!S$8)/100</f>
        <v>0</v>
      </c>
      <c r="BH14" s="333"/>
      <c r="BI14" s="333"/>
      <c r="BJ14" s="333"/>
      <c r="BK14" s="333"/>
      <c r="BL14" s="333"/>
      <c r="BM14" s="333"/>
      <c r="BN14" s="333"/>
      <c r="BO14" s="333"/>
      <c r="BP14" s="333"/>
      <c r="BQ14" s="333"/>
      <c r="BR14" s="333"/>
      <c r="BS14" s="333"/>
      <c r="BT14" s="334"/>
      <c r="BU14" s="335"/>
      <c r="BV14" s="255"/>
      <c r="BY14" s="306" t="str">
        <f>'GRC and TUL Assumptions'!A14</f>
        <v>Services Water</v>
      </c>
      <c r="BZ14" s="305">
        <f>'GRC and TUL Assumptions'!C14</f>
        <v>20</v>
      </c>
      <c r="CA14" s="305">
        <f>'GRC and TUL Assumptions'!D14</f>
        <v>40</v>
      </c>
      <c r="CB14" s="305">
        <f>'GRC and TUL Assumptions'!E14</f>
        <v>70</v>
      </c>
      <c r="CC14" s="305">
        <v>0</v>
      </c>
      <c r="CD14" s="305">
        <f>'GRC and TUL Assumptions'!F14</f>
        <v>20</v>
      </c>
      <c r="CE14" s="305">
        <f>'GRC and TUL Assumptions'!G14</f>
        <v>30</v>
      </c>
      <c r="CF14" s="305">
        <f>'GRC and TUL Assumptions'!H14</f>
        <v>40</v>
      </c>
      <c r="CG14" s="305">
        <f t="shared" si="32"/>
        <v>20</v>
      </c>
      <c r="CH14" s="323" t="e">
        <f t="shared" si="6"/>
        <v>#N/A</v>
      </c>
      <c r="CI14" s="323" t="e">
        <f t="shared" si="7"/>
        <v>#N/A</v>
      </c>
      <c r="CJ14" s="323" t="e">
        <f t="shared" si="38"/>
        <v>#N/A</v>
      </c>
      <c r="CK14" s="323" t="e">
        <f t="shared" si="8"/>
        <v>#N/A</v>
      </c>
      <c r="CL14" s="323" t="e">
        <f t="shared" si="9"/>
        <v>#N/A</v>
      </c>
      <c r="CM14" s="323" t="e">
        <f t="shared" si="10"/>
        <v>#N/A</v>
      </c>
      <c r="CN14" s="323" t="e">
        <f t="shared" si="11"/>
        <v>#N/A</v>
      </c>
      <c r="CO14" s="323" t="e">
        <f t="shared" si="12"/>
        <v>#N/A</v>
      </c>
      <c r="CP14" s="323" t="e">
        <f t="shared" si="13"/>
        <v>#N/A</v>
      </c>
      <c r="CQ14" s="323" t="e">
        <f t="shared" si="14"/>
        <v>#N/A</v>
      </c>
      <c r="CR14" s="324" t="e">
        <f t="shared" si="33"/>
        <v>#N/A</v>
      </c>
      <c r="CS14" s="325" t="e">
        <f>(HLOOKUP($AI14,'Inflation Adjustments'!$B$3:$BT$4,2,TRUE))*CH14</f>
        <v>#N/A</v>
      </c>
      <c r="CT14" s="325" t="e">
        <f>(HLOOKUP($AI14,'Inflation Adjustments'!$B$3:$BT$4,2,TRUE))*CI14</f>
        <v>#N/A</v>
      </c>
      <c r="CU14" s="325" t="e">
        <f>(HLOOKUP($AI14,'Inflation Adjustments'!$B$3:$BT$4,2,TRUE))*CJ14</f>
        <v>#N/A</v>
      </c>
      <c r="CV14" s="325" t="e">
        <f>(HLOOKUP($AI14,'Inflation Adjustments'!$B$3:$BT$4,2,TRUE))*CK14</f>
        <v>#N/A</v>
      </c>
      <c r="CW14" s="325" t="e">
        <f>(HLOOKUP($AI14,'Inflation Adjustments'!$B$3:$BT$4,2,TRUE))*CL14</f>
        <v>#N/A</v>
      </c>
      <c r="CX14" s="325" t="e">
        <f>(HLOOKUP($AI14,'Inflation Adjustments'!$B$3:$BT$4,2,TRUE))*CM14</f>
        <v>#N/A</v>
      </c>
      <c r="CY14" s="325" t="e">
        <f>(HLOOKUP($AI14,'Inflation Adjustments'!$B$3:$BT$4,2,TRUE))*CN14</f>
        <v>#N/A</v>
      </c>
      <c r="CZ14" s="325" t="e">
        <f>(HLOOKUP($AI14,'Inflation Adjustments'!$B$3:$BT$4,2,TRUE))*CO14</f>
        <v>#N/A</v>
      </c>
      <c r="DA14" s="325" t="e">
        <f>(HLOOKUP($AI14,'Inflation Adjustments'!$B$3:$BT$4,2,TRUE))*CP14</f>
        <v>#N/A</v>
      </c>
      <c r="DB14" s="325" t="e">
        <f>(HLOOKUP($AI14,'Inflation Adjustments'!$B$3:$BT$4,2,TRUE))*CQ14</f>
        <v>#N/A</v>
      </c>
      <c r="DC14" s="325" t="e">
        <f t="shared" si="34"/>
        <v>#N/A</v>
      </c>
      <c r="DD14" s="326">
        <f t="shared" si="15"/>
        <v>2022</v>
      </c>
      <c r="DE14" s="323" t="e">
        <f t="shared" si="16"/>
        <v>#N/A</v>
      </c>
      <c r="DF14" s="323" t="e">
        <f t="shared" si="17"/>
        <v>#N/A</v>
      </c>
      <c r="DG14" s="323" t="e">
        <f t="shared" si="18"/>
        <v>#N/A</v>
      </c>
      <c r="DH14" s="323" t="e">
        <f t="shared" si="19"/>
        <v>#N/A</v>
      </c>
      <c r="DI14" s="323" t="e">
        <f t="shared" si="20"/>
        <v>#N/A</v>
      </c>
      <c r="DJ14" s="323" t="e">
        <f t="shared" si="21"/>
        <v>#N/A</v>
      </c>
      <c r="DK14" s="323" t="e">
        <f t="shared" si="22"/>
        <v>#N/A</v>
      </c>
      <c r="DL14" s="323" t="e">
        <f t="shared" si="23"/>
        <v>#N/A</v>
      </c>
      <c r="DM14" s="323" t="e">
        <f t="shared" si="24"/>
        <v>#N/A</v>
      </c>
      <c r="DN14" s="323" t="e">
        <f t="shared" si="25"/>
        <v>#N/A</v>
      </c>
      <c r="DO14" s="327" t="e">
        <f t="shared" si="26"/>
        <v>#N/A</v>
      </c>
      <c r="DP14" s="327" t="e">
        <f t="shared" si="27"/>
        <v>#N/A</v>
      </c>
      <c r="DQ14" s="327" t="e">
        <f t="shared" si="27"/>
        <v>#N/A</v>
      </c>
      <c r="DR14" s="327" t="e">
        <f t="shared" si="27"/>
        <v>#N/A</v>
      </c>
      <c r="DS14" s="327" t="e">
        <f t="shared" si="27"/>
        <v>#N/A</v>
      </c>
      <c r="DT14" s="327" t="e">
        <f t="shared" si="27"/>
        <v>#N/A</v>
      </c>
      <c r="DU14" s="327" t="e">
        <f t="shared" si="27"/>
        <v>#N/A</v>
      </c>
      <c r="DV14" s="327" t="e">
        <f t="shared" si="27"/>
        <v>#N/A</v>
      </c>
      <c r="DW14" s="327" t="e">
        <f t="shared" si="27"/>
        <v>#N/A</v>
      </c>
      <c r="DX14" s="327" t="e">
        <f t="shared" si="27"/>
        <v>#N/A</v>
      </c>
      <c r="DY14" s="327" t="e">
        <f t="shared" si="35"/>
        <v>#N/A</v>
      </c>
      <c r="DZ14" s="323" t="e">
        <f t="shared" si="28"/>
        <v>#N/A</v>
      </c>
      <c r="EA14" s="323" t="e">
        <f t="shared" si="29"/>
        <v>#N/A</v>
      </c>
      <c r="EB14" s="323" t="e">
        <f t="shared" si="29"/>
        <v>#N/A</v>
      </c>
      <c r="EC14" s="323" t="e">
        <f t="shared" si="29"/>
        <v>#N/A</v>
      </c>
      <c r="ED14" s="323" t="e">
        <f t="shared" si="29"/>
        <v>#N/A</v>
      </c>
      <c r="EE14" s="323" t="e">
        <f t="shared" si="29"/>
        <v>#N/A</v>
      </c>
      <c r="EF14" s="323" t="e">
        <f t="shared" si="29"/>
        <v>#N/A</v>
      </c>
      <c r="EG14" s="323" t="e">
        <f t="shared" si="29"/>
        <v>#N/A</v>
      </c>
      <c r="EH14" s="323" t="e">
        <f t="shared" si="29"/>
        <v>#N/A</v>
      </c>
      <c r="EI14" s="323" t="e">
        <f t="shared" si="29"/>
        <v>#N/A</v>
      </c>
      <c r="EJ14" s="324" t="e">
        <f t="shared" si="36"/>
        <v>#N/A</v>
      </c>
      <c r="EK14" s="327" t="e">
        <f t="shared" si="30"/>
        <v>#N/A</v>
      </c>
      <c r="EL14" s="327" t="e">
        <f t="shared" si="31"/>
        <v>#N/A</v>
      </c>
      <c r="EM14" s="327" t="e">
        <f t="shared" si="31"/>
        <v>#N/A</v>
      </c>
      <c r="EN14" s="327" t="e">
        <f t="shared" si="31"/>
        <v>#N/A</v>
      </c>
      <c r="EO14" s="327" t="e">
        <f t="shared" si="31"/>
        <v>#N/A</v>
      </c>
      <c r="EP14" s="327" t="e">
        <f t="shared" si="31"/>
        <v>#N/A</v>
      </c>
      <c r="EQ14" s="327" t="e">
        <f t="shared" si="31"/>
        <v>#N/A</v>
      </c>
      <c r="ER14" s="327" t="e">
        <f t="shared" si="31"/>
        <v>#N/A</v>
      </c>
      <c r="ES14" s="327" t="e">
        <f t="shared" si="31"/>
        <v>#N/A</v>
      </c>
      <c r="ET14" s="327" t="e">
        <f t="shared" si="31"/>
        <v>#N/A</v>
      </c>
      <c r="EU14" s="325" t="e">
        <f t="shared" si="37"/>
        <v>#N/A</v>
      </c>
      <c r="EV14" s="336"/>
      <c r="EW14" s="336"/>
      <c r="EX14" s="336"/>
      <c r="EY14" s="336"/>
      <c r="EZ14" s="336"/>
      <c r="FA14" s="336"/>
      <c r="FB14" s="336"/>
      <c r="FN14" s="91" t="s">
        <v>1646</v>
      </c>
      <c r="FQ14" s="91" t="s">
        <v>1647</v>
      </c>
    </row>
    <row r="15" spans="1:173" ht="56.5" customHeight="1" x14ac:dyDescent="0.3">
      <c r="A15" s="330"/>
      <c r="B15" s="318"/>
      <c r="C15" s="318"/>
      <c r="D15" s="318"/>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7"/>
      <c r="AN15" s="317"/>
      <c r="AO15" s="511" t="e">
        <f t="shared" si="39"/>
        <v>#N/A</v>
      </c>
      <c r="AP15" s="511" t="e">
        <f t="shared" si="40"/>
        <v>#N/A</v>
      </c>
      <c r="AQ15" s="511" t="e">
        <f t="shared" si="41"/>
        <v>#N/A</v>
      </c>
      <c r="AR15" s="511" t="e">
        <f t="shared" si="42"/>
        <v>#N/A</v>
      </c>
      <c r="AS15" s="511" t="e">
        <f>HLOOKUP($C$1,'Inflation Adjustments'!$BI$3:$BT$4,2)*CR15</f>
        <v>#N/A</v>
      </c>
      <c r="AT15" s="511">
        <f>IF(BU15="In Service",'Maintenace Cost Assumptions'!$B$3*AS15,0)</f>
        <v>0</v>
      </c>
      <c r="AU15" s="318"/>
      <c r="AV15" s="318"/>
      <c r="AW15" s="318"/>
      <c r="AX15" s="318"/>
      <c r="AY15" s="318"/>
      <c r="AZ15" s="318"/>
      <c r="BA15" s="318"/>
      <c r="BB15" s="318"/>
      <c r="BC15" s="318"/>
      <c r="BD15" s="318"/>
      <c r="BE15" s="318"/>
      <c r="BF15" s="318"/>
      <c r="BG15" s="332">
        <f>(AU15*'Condition rating weights'!H$8+AV15*'Condition rating weights'!I$8+AW15*'Condition rating weights'!J$8+AX15*'Condition rating weights'!K$8+AY15*'Condition rating weights'!L$8+AZ15*'Condition rating weights'!M$8+BA15*'Condition rating weights'!N$8+BB15*'Condition rating weights'!O$8+BC15*'Condition rating weights'!P$8+BD15*'Condition rating weights'!Q$8+BE15*'Condition rating weights'!R$8+BF15*'Condition rating weights'!S$8)/100</f>
        <v>0</v>
      </c>
      <c r="BH15" s="333"/>
      <c r="BI15" s="333"/>
      <c r="BJ15" s="333"/>
      <c r="BK15" s="333"/>
      <c r="BL15" s="333"/>
      <c r="BM15" s="333"/>
      <c r="BN15" s="333"/>
      <c r="BO15" s="333"/>
      <c r="BP15" s="333"/>
      <c r="BQ15" s="333"/>
      <c r="BR15" s="333"/>
      <c r="BS15" s="333"/>
      <c r="BT15" s="334"/>
      <c r="BU15" s="335"/>
      <c r="BV15" s="255"/>
      <c r="CD15" s="290"/>
      <c r="CH15" s="323" t="e">
        <f t="shared" si="6"/>
        <v>#N/A</v>
      </c>
      <c r="CI15" s="323" t="e">
        <f t="shared" si="7"/>
        <v>#N/A</v>
      </c>
      <c r="CJ15" s="323" t="e">
        <f t="shared" si="38"/>
        <v>#N/A</v>
      </c>
      <c r="CK15" s="323" t="e">
        <f t="shared" si="8"/>
        <v>#N/A</v>
      </c>
      <c r="CL15" s="323" t="e">
        <f t="shared" si="9"/>
        <v>#N/A</v>
      </c>
      <c r="CM15" s="323" t="e">
        <f t="shared" si="10"/>
        <v>#N/A</v>
      </c>
      <c r="CN15" s="323" t="e">
        <f t="shared" si="11"/>
        <v>#N/A</v>
      </c>
      <c r="CO15" s="323" t="e">
        <f t="shared" si="12"/>
        <v>#N/A</v>
      </c>
      <c r="CP15" s="323" t="e">
        <f t="shared" si="13"/>
        <v>#N/A</v>
      </c>
      <c r="CQ15" s="323" t="e">
        <f t="shared" si="14"/>
        <v>#N/A</v>
      </c>
      <c r="CR15" s="324" t="e">
        <f t="shared" si="33"/>
        <v>#N/A</v>
      </c>
      <c r="CS15" s="325" t="e">
        <f>(HLOOKUP($AI15,'Inflation Adjustments'!$B$3:$BT$4,2,TRUE))*CH15</f>
        <v>#N/A</v>
      </c>
      <c r="CT15" s="325" t="e">
        <f>(HLOOKUP($AI15,'Inflation Adjustments'!$B$3:$BT$4,2,TRUE))*CI15</f>
        <v>#N/A</v>
      </c>
      <c r="CU15" s="325" t="e">
        <f>(HLOOKUP($AI15,'Inflation Adjustments'!$B$3:$BT$4,2,TRUE))*CJ15</f>
        <v>#N/A</v>
      </c>
      <c r="CV15" s="325" t="e">
        <f>(HLOOKUP($AI15,'Inflation Adjustments'!$B$3:$BT$4,2,TRUE))*CK15</f>
        <v>#N/A</v>
      </c>
      <c r="CW15" s="325" t="e">
        <f>(HLOOKUP($AI15,'Inflation Adjustments'!$B$3:$BT$4,2,TRUE))*CL15</f>
        <v>#N/A</v>
      </c>
      <c r="CX15" s="325" t="e">
        <f>(HLOOKUP($AI15,'Inflation Adjustments'!$B$3:$BT$4,2,TRUE))*CM15</f>
        <v>#N/A</v>
      </c>
      <c r="CY15" s="325" t="e">
        <f>(HLOOKUP($AI15,'Inflation Adjustments'!$B$3:$BT$4,2,TRUE))*CN15</f>
        <v>#N/A</v>
      </c>
      <c r="CZ15" s="325" t="e">
        <f>(HLOOKUP($AI15,'Inflation Adjustments'!$B$3:$BT$4,2,TRUE))*CO15</f>
        <v>#N/A</v>
      </c>
      <c r="DA15" s="325" t="e">
        <f>(HLOOKUP($AI15,'Inflation Adjustments'!$B$3:$BT$4,2,TRUE))*CP15</f>
        <v>#N/A</v>
      </c>
      <c r="DB15" s="325" t="e">
        <f>(HLOOKUP($AI15,'Inflation Adjustments'!$B$3:$BT$4,2,TRUE))*CQ15</f>
        <v>#N/A</v>
      </c>
      <c r="DC15" s="325" t="e">
        <f t="shared" si="34"/>
        <v>#N/A</v>
      </c>
      <c r="DD15" s="326">
        <f t="shared" si="15"/>
        <v>2022</v>
      </c>
      <c r="DE15" s="323" t="e">
        <f t="shared" si="16"/>
        <v>#N/A</v>
      </c>
      <c r="DF15" s="323" t="e">
        <f t="shared" si="17"/>
        <v>#N/A</v>
      </c>
      <c r="DG15" s="323" t="e">
        <f t="shared" si="18"/>
        <v>#N/A</v>
      </c>
      <c r="DH15" s="323" t="e">
        <f t="shared" si="19"/>
        <v>#N/A</v>
      </c>
      <c r="DI15" s="323" t="e">
        <f t="shared" si="20"/>
        <v>#N/A</v>
      </c>
      <c r="DJ15" s="323" t="e">
        <f t="shared" si="21"/>
        <v>#N/A</v>
      </c>
      <c r="DK15" s="323" t="e">
        <f t="shared" si="22"/>
        <v>#N/A</v>
      </c>
      <c r="DL15" s="323" t="e">
        <f t="shared" si="23"/>
        <v>#N/A</v>
      </c>
      <c r="DM15" s="323" t="e">
        <f t="shared" si="24"/>
        <v>#N/A</v>
      </c>
      <c r="DN15" s="323" t="e">
        <f t="shared" si="25"/>
        <v>#N/A</v>
      </c>
      <c r="DO15" s="327" t="e">
        <f t="shared" si="26"/>
        <v>#N/A</v>
      </c>
      <c r="DP15" s="327" t="e">
        <f t="shared" si="27"/>
        <v>#N/A</v>
      </c>
      <c r="DQ15" s="327" t="e">
        <f t="shared" si="27"/>
        <v>#N/A</v>
      </c>
      <c r="DR15" s="327" t="e">
        <f t="shared" si="27"/>
        <v>#N/A</v>
      </c>
      <c r="DS15" s="327" t="e">
        <f t="shared" si="27"/>
        <v>#N/A</v>
      </c>
      <c r="DT15" s="327" t="e">
        <f t="shared" si="27"/>
        <v>#N/A</v>
      </c>
      <c r="DU15" s="327" t="e">
        <f t="shared" si="27"/>
        <v>#N/A</v>
      </c>
      <c r="DV15" s="327" t="e">
        <f t="shared" si="27"/>
        <v>#N/A</v>
      </c>
      <c r="DW15" s="327" t="e">
        <f t="shared" si="27"/>
        <v>#N/A</v>
      </c>
      <c r="DX15" s="327" t="e">
        <f t="shared" si="27"/>
        <v>#N/A</v>
      </c>
      <c r="DY15" s="327" t="e">
        <f t="shared" si="35"/>
        <v>#N/A</v>
      </c>
      <c r="DZ15" s="323" t="e">
        <f t="shared" si="28"/>
        <v>#N/A</v>
      </c>
      <c r="EA15" s="323" t="e">
        <f t="shared" si="29"/>
        <v>#N/A</v>
      </c>
      <c r="EB15" s="323" t="e">
        <f t="shared" si="29"/>
        <v>#N/A</v>
      </c>
      <c r="EC15" s="323" t="e">
        <f t="shared" si="29"/>
        <v>#N/A</v>
      </c>
      <c r="ED15" s="323" t="e">
        <f t="shared" si="29"/>
        <v>#N/A</v>
      </c>
      <c r="EE15" s="323" t="e">
        <f t="shared" si="29"/>
        <v>#N/A</v>
      </c>
      <c r="EF15" s="323" t="e">
        <f t="shared" si="29"/>
        <v>#N/A</v>
      </c>
      <c r="EG15" s="323" t="e">
        <f t="shared" si="29"/>
        <v>#N/A</v>
      </c>
      <c r="EH15" s="323" t="e">
        <f t="shared" si="29"/>
        <v>#N/A</v>
      </c>
      <c r="EI15" s="323" t="e">
        <f t="shared" si="29"/>
        <v>#N/A</v>
      </c>
      <c r="EJ15" s="324" t="e">
        <f t="shared" si="36"/>
        <v>#N/A</v>
      </c>
      <c r="EK15" s="327" t="e">
        <f t="shared" si="30"/>
        <v>#N/A</v>
      </c>
      <c r="EL15" s="327" t="e">
        <f t="shared" si="31"/>
        <v>#N/A</v>
      </c>
      <c r="EM15" s="327" t="e">
        <f t="shared" si="31"/>
        <v>#N/A</v>
      </c>
      <c r="EN15" s="327" t="e">
        <f t="shared" si="31"/>
        <v>#N/A</v>
      </c>
      <c r="EO15" s="327" t="e">
        <f t="shared" si="31"/>
        <v>#N/A</v>
      </c>
      <c r="EP15" s="327" t="e">
        <f t="shared" si="31"/>
        <v>#N/A</v>
      </c>
      <c r="EQ15" s="327" t="e">
        <f t="shared" si="31"/>
        <v>#N/A</v>
      </c>
      <c r="ER15" s="327" t="e">
        <f t="shared" si="31"/>
        <v>#N/A</v>
      </c>
      <c r="ES15" s="327" t="e">
        <f t="shared" si="31"/>
        <v>#N/A</v>
      </c>
      <c r="ET15" s="327" t="e">
        <f t="shared" si="31"/>
        <v>#N/A</v>
      </c>
      <c r="EU15" s="325" t="e">
        <f t="shared" si="37"/>
        <v>#N/A</v>
      </c>
      <c r="EV15" s="336"/>
      <c r="EW15" s="336"/>
      <c r="EX15" s="336"/>
      <c r="EY15" s="336"/>
      <c r="EZ15" s="336"/>
      <c r="FA15" s="336"/>
      <c r="FB15" s="336"/>
    </row>
    <row r="16" spans="1:173" ht="41.5" customHeight="1" x14ac:dyDescent="0.3">
      <c r="A16" s="330"/>
      <c r="B16" s="318"/>
      <c r="C16" s="318"/>
      <c r="D16" s="318"/>
      <c r="E16" s="318"/>
      <c r="F16" s="318"/>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18"/>
      <c r="AM16" s="317"/>
      <c r="AN16" s="317"/>
      <c r="AO16" s="511" t="e">
        <f t="shared" si="39"/>
        <v>#N/A</v>
      </c>
      <c r="AP16" s="511" t="e">
        <f t="shared" si="40"/>
        <v>#N/A</v>
      </c>
      <c r="AQ16" s="511" t="e">
        <f t="shared" si="41"/>
        <v>#N/A</v>
      </c>
      <c r="AR16" s="511" t="e">
        <f t="shared" si="42"/>
        <v>#N/A</v>
      </c>
      <c r="AS16" s="511" t="e">
        <f>HLOOKUP($C$1,'Inflation Adjustments'!$BI$3:$BT$4,2)*CR16</f>
        <v>#N/A</v>
      </c>
      <c r="AT16" s="511">
        <f>IF(BU16="In Service",'Maintenace Cost Assumptions'!$B$3*AS16,0)</f>
        <v>0</v>
      </c>
      <c r="AU16" s="318"/>
      <c r="AV16" s="318"/>
      <c r="AW16" s="318"/>
      <c r="AX16" s="318"/>
      <c r="AY16" s="318"/>
      <c r="AZ16" s="318"/>
      <c r="BA16" s="318"/>
      <c r="BB16" s="318"/>
      <c r="BC16" s="318"/>
      <c r="BD16" s="318"/>
      <c r="BE16" s="318"/>
      <c r="BF16" s="318"/>
      <c r="BG16" s="332">
        <f>(AU16*'Condition rating weights'!H$8+AV16*'Condition rating weights'!I$8+AW16*'Condition rating weights'!J$8+AX16*'Condition rating weights'!K$8+AY16*'Condition rating weights'!L$8+AZ16*'Condition rating weights'!M$8+BA16*'Condition rating weights'!N$8+BB16*'Condition rating weights'!O$8+BC16*'Condition rating weights'!P$8+BD16*'Condition rating weights'!Q$8+BE16*'Condition rating weights'!R$8+BF16*'Condition rating weights'!S$8)/100</f>
        <v>0</v>
      </c>
      <c r="BH16" s="333"/>
      <c r="BI16" s="333"/>
      <c r="BJ16" s="333"/>
      <c r="BK16" s="333"/>
      <c r="BL16" s="333"/>
      <c r="BM16" s="333"/>
      <c r="BN16" s="333"/>
      <c r="BO16" s="333"/>
      <c r="BP16" s="333"/>
      <c r="BQ16" s="333"/>
      <c r="BR16" s="333"/>
      <c r="BS16" s="333"/>
      <c r="BT16" s="334"/>
      <c r="BU16" s="335"/>
      <c r="BV16" s="255"/>
      <c r="CH16" s="323" t="e">
        <f t="shared" si="6"/>
        <v>#N/A</v>
      </c>
      <c r="CI16" s="323" t="e">
        <f t="shared" si="7"/>
        <v>#N/A</v>
      </c>
      <c r="CJ16" s="323" t="e">
        <f t="shared" si="38"/>
        <v>#N/A</v>
      </c>
      <c r="CK16" s="323" t="e">
        <f t="shared" si="8"/>
        <v>#N/A</v>
      </c>
      <c r="CL16" s="323" t="e">
        <f t="shared" si="9"/>
        <v>#N/A</v>
      </c>
      <c r="CM16" s="323" t="e">
        <f t="shared" si="10"/>
        <v>#N/A</v>
      </c>
      <c r="CN16" s="323" t="e">
        <f t="shared" si="11"/>
        <v>#N/A</v>
      </c>
      <c r="CO16" s="323" t="e">
        <f t="shared" si="12"/>
        <v>#N/A</v>
      </c>
      <c r="CP16" s="323" t="e">
        <f t="shared" si="13"/>
        <v>#N/A</v>
      </c>
      <c r="CQ16" s="323" t="e">
        <f t="shared" si="14"/>
        <v>#N/A</v>
      </c>
      <c r="CR16" s="324" t="e">
        <f t="shared" si="33"/>
        <v>#N/A</v>
      </c>
      <c r="CS16" s="325" t="e">
        <f>(HLOOKUP($AI16,'Inflation Adjustments'!$B$3:$BT$4,2,TRUE))*CH16</f>
        <v>#N/A</v>
      </c>
      <c r="CT16" s="325" t="e">
        <f>(HLOOKUP($AI16,'Inflation Adjustments'!$B$3:$BT$4,2,TRUE))*CI16</f>
        <v>#N/A</v>
      </c>
      <c r="CU16" s="325" t="e">
        <f>(HLOOKUP($AI16,'Inflation Adjustments'!$B$3:$BT$4,2,TRUE))*CJ16</f>
        <v>#N/A</v>
      </c>
      <c r="CV16" s="325" t="e">
        <f>(HLOOKUP($AI16,'Inflation Adjustments'!$B$3:$BT$4,2,TRUE))*CK16</f>
        <v>#N/A</v>
      </c>
      <c r="CW16" s="325" t="e">
        <f>(HLOOKUP($AI16,'Inflation Adjustments'!$B$3:$BT$4,2,TRUE))*CL16</f>
        <v>#N/A</v>
      </c>
      <c r="CX16" s="325" t="e">
        <f>(HLOOKUP($AI16,'Inflation Adjustments'!$B$3:$BT$4,2,TRUE))*CM16</f>
        <v>#N/A</v>
      </c>
      <c r="CY16" s="325" t="e">
        <f>(HLOOKUP($AI16,'Inflation Adjustments'!$B$3:$BT$4,2,TRUE))*CN16</f>
        <v>#N/A</v>
      </c>
      <c r="CZ16" s="325" t="e">
        <f>(HLOOKUP($AI16,'Inflation Adjustments'!$B$3:$BT$4,2,TRUE))*CO16</f>
        <v>#N/A</v>
      </c>
      <c r="DA16" s="325" t="e">
        <f>(HLOOKUP($AI16,'Inflation Adjustments'!$B$3:$BT$4,2,TRUE))*CP16</f>
        <v>#N/A</v>
      </c>
      <c r="DB16" s="325" t="e">
        <f>(HLOOKUP($AI16,'Inflation Adjustments'!$B$3:$BT$4,2,TRUE))*CQ16</f>
        <v>#N/A</v>
      </c>
      <c r="DC16" s="325" t="e">
        <f t="shared" si="34"/>
        <v>#N/A</v>
      </c>
      <c r="DD16" s="326">
        <f t="shared" si="15"/>
        <v>2022</v>
      </c>
      <c r="DE16" s="323" t="e">
        <f t="shared" si="16"/>
        <v>#N/A</v>
      </c>
      <c r="DF16" s="323" t="e">
        <f t="shared" si="17"/>
        <v>#N/A</v>
      </c>
      <c r="DG16" s="323" t="e">
        <f t="shared" si="18"/>
        <v>#N/A</v>
      </c>
      <c r="DH16" s="323" t="e">
        <f t="shared" si="19"/>
        <v>#N/A</v>
      </c>
      <c r="DI16" s="323" t="e">
        <f t="shared" si="20"/>
        <v>#N/A</v>
      </c>
      <c r="DJ16" s="323" t="e">
        <f t="shared" si="21"/>
        <v>#N/A</v>
      </c>
      <c r="DK16" s="323" t="e">
        <f t="shared" si="22"/>
        <v>#N/A</v>
      </c>
      <c r="DL16" s="323" t="e">
        <f t="shared" si="23"/>
        <v>#N/A</v>
      </c>
      <c r="DM16" s="323" t="e">
        <f t="shared" si="24"/>
        <v>#N/A</v>
      </c>
      <c r="DN16" s="323" t="e">
        <f t="shared" si="25"/>
        <v>#N/A</v>
      </c>
      <c r="DO16" s="327" t="e">
        <f t="shared" si="26"/>
        <v>#N/A</v>
      </c>
      <c r="DP16" s="327" t="e">
        <f t="shared" si="27"/>
        <v>#N/A</v>
      </c>
      <c r="DQ16" s="327" t="e">
        <f t="shared" si="27"/>
        <v>#N/A</v>
      </c>
      <c r="DR16" s="327" t="e">
        <f t="shared" si="27"/>
        <v>#N/A</v>
      </c>
      <c r="DS16" s="327" t="e">
        <f t="shared" si="27"/>
        <v>#N/A</v>
      </c>
      <c r="DT16" s="327" t="e">
        <f t="shared" si="27"/>
        <v>#N/A</v>
      </c>
      <c r="DU16" s="327" t="e">
        <f t="shared" si="27"/>
        <v>#N/A</v>
      </c>
      <c r="DV16" s="327" t="e">
        <f t="shared" si="27"/>
        <v>#N/A</v>
      </c>
      <c r="DW16" s="327" t="e">
        <f t="shared" si="27"/>
        <v>#N/A</v>
      </c>
      <c r="DX16" s="327" t="e">
        <f t="shared" si="27"/>
        <v>#N/A</v>
      </c>
      <c r="DY16" s="327" t="e">
        <f t="shared" si="35"/>
        <v>#N/A</v>
      </c>
      <c r="DZ16" s="323" t="e">
        <f t="shared" si="28"/>
        <v>#N/A</v>
      </c>
      <c r="EA16" s="323" t="e">
        <f t="shared" si="29"/>
        <v>#N/A</v>
      </c>
      <c r="EB16" s="323" t="e">
        <f t="shared" si="29"/>
        <v>#N/A</v>
      </c>
      <c r="EC16" s="323" t="e">
        <f t="shared" si="29"/>
        <v>#N/A</v>
      </c>
      <c r="ED16" s="323" t="e">
        <f t="shared" si="29"/>
        <v>#N/A</v>
      </c>
      <c r="EE16" s="323" t="e">
        <f t="shared" si="29"/>
        <v>#N/A</v>
      </c>
      <c r="EF16" s="323" t="e">
        <f t="shared" si="29"/>
        <v>#N/A</v>
      </c>
      <c r="EG16" s="323" t="e">
        <f t="shared" si="29"/>
        <v>#N/A</v>
      </c>
      <c r="EH16" s="323" t="e">
        <f t="shared" si="29"/>
        <v>#N/A</v>
      </c>
      <c r="EI16" s="323" t="e">
        <f t="shared" si="29"/>
        <v>#N/A</v>
      </c>
      <c r="EJ16" s="324" t="e">
        <f t="shared" si="36"/>
        <v>#N/A</v>
      </c>
      <c r="EK16" s="327" t="e">
        <f t="shared" si="30"/>
        <v>#N/A</v>
      </c>
      <c r="EL16" s="327" t="e">
        <f t="shared" si="31"/>
        <v>#N/A</v>
      </c>
      <c r="EM16" s="327" t="e">
        <f t="shared" si="31"/>
        <v>#N/A</v>
      </c>
      <c r="EN16" s="327" t="e">
        <f t="shared" si="31"/>
        <v>#N/A</v>
      </c>
      <c r="EO16" s="327" t="e">
        <f t="shared" si="31"/>
        <v>#N/A</v>
      </c>
      <c r="EP16" s="327" t="e">
        <f t="shared" si="31"/>
        <v>#N/A</v>
      </c>
      <c r="EQ16" s="327" t="e">
        <f t="shared" si="31"/>
        <v>#N/A</v>
      </c>
      <c r="ER16" s="327" t="e">
        <f t="shared" si="31"/>
        <v>#N/A</v>
      </c>
      <c r="ES16" s="327" t="e">
        <f t="shared" si="31"/>
        <v>#N/A</v>
      </c>
      <c r="ET16" s="327" t="e">
        <f t="shared" si="31"/>
        <v>#N/A</v>
      </c>
      <c r="EU16" s="325" t="e">
        <f t="shared" si="37"/>
        <v>#N/A</v>
      </c>
      <c r="EV16" s="336"/>
      <c r="EW16" s="336"/>
      <c r="EX16" s="336"/>
      <c r="EY16" s="336"/>
      <c r="EZ16" s="336"/>
      <c r="FA16" s="336"/>
      <c r="FB16" s="336"/>
    </row>
    <row r="17" spans="1:158" ht="41.5" customHeight="1" x14ac:dyDescent="0.3">
      <c r="A17" s="330"/>
      <c r="B17" s="318"/>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7"/>
      <c r="AN17" s="317"/>
      <c r="AO17" s="511" t="e">
        <f t="shared" si="39"/>
        <v>#N/A</v>
      </c>
      <c r="AP17" s="511" t="e">
        <f t="shared" si="40"/>
        <v>#N/A</v>
      </c>
      <c r="AQ17" s="511" t="e">
        <f t="shared" si="41"/>
        <v>#N/A</v>
      </c>
      <c r="AR17" s="511" t="e">
        <f t="shared" si="42"/>
        <v>#N/A</v>
      </c>
      <c r="AS17" s="511" t="e">
        <f>HLOOKUP($C$1,'Inflation Adjustments'!$BI$3:$BT$4,2)*CR17</f>
        <v>#N/A</v>
      </c>
      <c r="AT17" s="511">
        <f>IF(BU17="In Service",'Maintenace Cost Assumptions'!$B$3*AS17,0)</f>
        <v>0</v>
      </c>
      <c r="AU17" s="318"/>
      <c r="AV17" s="318"/>
      <c r="AW17" s="318"/>
      <c r="AX17" s="318"/>
      <c r="AY17" s="318"/>
      <c r="AZ17" s="318"/>
      <c r="BA17" s="318"/>
      <c r="BB17" s="318"/>
      <c r="BC17" s="318"/>
      <c r="BD17" s="318"/>
      <c r="BE17" s="318"/>
      <c r="BF17" s="318"/>
      <c r="BG17" s="332">
        <f>(AU17*'Condition rating weights'!H$8+AV17*'Condition rating weights'!I$8+AW17*'Condition rating weights'!J$8+AX17*'Condition rating weights'!K$8+AY17*'Condition rating weights'!L$8+AZ17*'Condition rating weights'!M$8+BA17*'Condition rating weights'!N$8+BB17*'Condition rating weights'!O$8+BC17*'Condition rating weights'!P$8+BD17*'Condition rating weights'!Q$8+BE17*'Condition rating weights'!R$8+BF17*'Condition rating weights'!S$8)/100</f>
        <v>0</v>
      </c>
      <c r="BH17" s="333"/>
      <c r="BI17" s="333"/>
      <c r="BJ17" s="333"/>
      <c r="BK17" s="333"/>
      <c r="BL17" s="333"/>
      <c r="BM17" s="333"/>
      <c r="BN17" s="333"/>
      <c r="BO17" s="333"/>
      <c r="BP17" s="333"/>
      <c r="BQ17" s="333"/>
      <c r="BR17" s="333"/>
      <c r="BS17" s="333"/>
      <c r="BT17" s="334"/>
      <c r="BU17" s="335"/>
      <c r="BV17" s="255"/>
      <c r="CH17" s="323" t="e">
        <f t="shared" si="6"/>
        <v>#N/A</v>
      </c>
      <c r="CI17" s="323" t="e">
        <f t="shared" si="7"/>
        <v>#N/A</v>
      </c>
      <c r="CJ17" s="323" t="e">
        <f t="shared" si="38"/>
        <v>#N/A</v>
      </c>
      <c r="CK17" s="323" t="e">
        <f t="shared" si="8"/>
        <v>#N/A</v>
      </c>
      <c r="CL17" s="323" t="e">
        <f t="shared" si="9"/>
        <v>#N/A</v>
      </c>
      <c r="CM17" s="323" t="e">
        <f t="shared" si="10"/>
        <v>#N/A</v>
      </c>
      <c r="CN17" s="323" t="e">
        <f t="shared" si="11"/>
        <v>#N/A</v>
      </c>
      <c r="CO17" s="323" t="e">
        <f t="shared" si="12"/>
        <v>#N/A</v>
      </c>
      <c r="CP17" s="323" t="e">
        <f t="shared" si="13"/>
        <v>#N/A</v>
      </c>
      <c r="CQ17" s="323" t="e">
        <f t="shared" si="14"/>
        <v>#N/A</v>
      </c>
      <c r="CR17" s="324" t="e">
        <f t="shared" si="33"/>
        <v>#N/A</v>
      </c>
      <c r="CS17" s="325" t="e">
        <f>(HLOOKUP($AI17,'Inflation Adjustments'!$B$3:$BT$4,2,TRUE))*CH17</f>
        <v>#N/A</v>
      </c>
      <c r="CT17" s="325" t="e">
        <f>(HLOOKUP($AI17,'Inflation Adjustments'!$B$3:$BT$4,2,TRUE))*CI17</f>
        <v>#N/A</v>
      </c>
      <c r="CU17" s="325" t="e">
        <f>(HLOOKUP($AI17,'Inflation Adjustments'!$B$3:$BT$4,2,TRUE))*CJ17</f>
        <v>#N/A</v>
      </c>
      <c r="CV17" s="325" t="e">
        <f>(HLOOKUP($AI17,'Inflation Adjustments'!$B$3:$BT$4,2,TRUE))*CK17</f>
        <v>#N/A</v>
      </c>
      <c r="CW17" s="325" t="e">
        <f>(HLOOKUP($AI17,'Inflation Adjustments'!$B$3:$BT$4,2,TRUE))*CL17</f>
        <v>#N/A</v>
      </c>
      <c r="CX17" s="325" t="e">
        <f>(HLOOKUP($AI17,'Inflation Adjustments'!$B$3:$BT$4,2,TRUE))*CM17</f>
        <v>#N/A</v>
      </c>
      <c r="CY17" s="325" t="e">
        <f>(HLOOKUP($AI17,'Inflation Adjustments'!$B$3:$BT$4,2,TRUE))*CN17</f>
        <v>#N/A</v>
      </c>
      <c r="CZ17" s="325" t="e">
        <f>(HLOOKUP($AI17,'Inflation Adjustments'!$B$3:$BT$4,2,TRUE))*CO17</f>
        <v>#N/A</v>
      </c>
      <c r="DA17" s="325" t="e">
        <f>(HLOOKUP($AI17,'Inflation Adjustments'!$B$3:$BT$4,2,TRUE))*CP17</f>
        <v>#N/A</v>
      </c>
      <c r="DB17" s="325" t="e">
        <f>(HLOOKUP($AI17,'Inflation Adjustments'!$B$3:$BT$4,2,TRUE))*CQ17</f>
        <v>#N/A</v>
      </c>
      <c r="DC17" s="325" t="e">
        <f t="shared" si="34"/>
        <v>#N/A</v>
      </c>
      <c r="DD17" s="326">
        <f t="shared" si="15"/>
        <v>2022</v>
      </c>
      <c r="DE17" s="323" t="e">
        <f t="shared" si="16"/>
        <v>#N/A</v>
      </c>
      <c r="DF17" s="323" t="e">
        <f t="shared" si="17"/>
        <v>#N/A</v>
      </c>
      <c r="DG17" s="323" t="e">
        <f t="shared" si="18"/>
        <v>#N/A</v>
      </c>
      <c r="DH17" s="323" t="e">
        <f t="shared" si="19"/>
        <v>#N/A</v>
      </c>
      <c r="DI17" s="323" t="e">
        <f t="shared" si="20"/>
        <v>#N/A</v>
      </c>
      <c r="DJ17" s="323" t="e">
        <f t="shared" si="21"/>
        <v>#N/A</v>
      </c>
      <c r="DK17" s="323" t="e">
        <f t="shared" si="22"/>
        <v>#N/A</v>
      </c>
      <c r="DL17" s="323" t="e">
        <f t="shared" si="23"/>
        <v>#N/A</v>
      </c>
      <c r="DM17" s="323" t="e">
        <f t="shared" si="24"/>
        <v>#N/A</v>
      </c>
      <c r="DN17" s="323" t="e">
        <f t="shared" si="25"/>
        <v>#N/A</v>
      </c>
      <c r="DO17" s="327" t="e">
        <f t="shared" si="26"/>
        <v>#N/A</v>
      </c>
      <c r="DP17" s="327" t="e">
        <f t="shared" ref="DP17:DX20" si="43">CT17/DF17</f>
        <v>#N/A</v>
      </c>
      <c r="DQ17" s="327" t="e">
        <f t="shared" si="43"/>
        <v>#N/A</v>
      </c>
      <c r="DR17" s="327" t="e">
        <f t="shared" si="43"/>
        <v>#N/A</v>
      </c>
      <c r="DS17" s="327" t="e">
        <f t="shared" si="43"/>
        <v>#N/A</v>
      </c>
      <c r="DT17" s="327" t="e">
        <f t="shared" si="43"/>
        <v>#N/A</v>
      </c>
      <c r="DU17" s="327" t="e">
        <f t="shared" si="43"/>
        <v>#N/A</v>
      </c>
      <c r="DV17" s="327" t="e">
        <f t="shared" si="43"/>
        <v>#N/A</v>
      </c>
      <c r="DW17" s="327" t="e">
        <f t="shared" si="43"/>
        <v>#N/A</v>
      </c>
      <c r="DX17" s="327" t="e">
        <f t="shared" si="43"/>
        <v>#N/A</v>
      </c>
      <c r="DY17" s="327" t="e">
        <f t="shared" si="35"/>
        <v>#N/A</v>
      </c>
      <c r="DZ17" s="323" t="e">
        <f t="shared" si="28"/>
        <v>#N/A</v>
      </c>
      <c r="EA17" s="323" t="e">
        <f t="shared" ref="EA17:EI20" si="44">IF(DP17*$DD17&gt;CT17,CT17,DP17*$DD17)</f>
        <v>#N/A</v>
      </c>
      <c r="EB17" s="323" t="e">
        <f t="shared" si="44"/>
        <v>#N/A</v>
      </c>
      <c r="EC17" s="323" t="e">
        <f t="shared" si="44"/>
        <v>#N/A</v>
      </c>
      <c r="ED17" s="323" t="e">
        <f t="shared" si="44"/>
        <v>#N/A</v>
      </c>
      <c r="EE17" s="323" t="e">
        <f t="shared" si="44"/>
        <v>#N/A</v>
      </c>
      <c r="EF17" s="323" t="e">
        <f t="shared" si="44"/>
        <v>#N/A</v>
      </c>
      <c r="EG17" s="323" t="e">
        <f t="shared" si="44"/>
        <v>#N/A</v>
      </c>
      <c r="EH17" s="323" t="e">
        <f t="shared" si="44"/>
        <v>#N/A</v>
      </c>
      <c r="EI17" s="323" t="e">
        <f t="shared" si="44"/>
        <v>#N/A</v>
      </c>
      <c r="EJ17" s="324" t="e">
        <f t="shared" si="36"/>
        <v>#N/A</v>
      </c>
      <c r="EK17" s="327" t="e">
        <f t="shared" si="30"/>
        <v>#N/A</v>
      </c>
      <c r="EL17" s="327" t="e">
        <f t="shared" ref="EL17:ET20" si="45">IF(DP17&lt;(CT17-EA17),DP17,(CT17-EA17))</f>
        <v>#N/A</v>
      </c>
      <c r="EM17" s="327" t="e">
        <f t="shared" si="45"/>
        <v>#N/A</v>
      </c>
      <c r="EN17" s="327" t="e">
        <f t="shared" si="45"/>
        <v>#N/A</v>
      </c>
      <c r="EO17" s="327" t="e">
        <f t="shared" si="45"/>
        <v>#N/A</v>
      </c>
      <c r="EP17" s="327" t="e">
        <f t="shared" si="45"/>
        <v>#N/A</v>
      </c>
      <c r="EQ17" s="327" t="e">
        <f t="shared" si="45"/>
        <v>#N/A</v>
      </c>
      <c r="ER17" s="327" t="e">
        <f t="shared" si="45"/>
        <v>#N/A</v>
      </c>
      <c r="ES17" s="327" t="e">
        <f t="shared" si="45"/>
        <v>#N/A</v>
      </c>
      <c r="ET17" s="327" t="e">
        <f t="shared" si="45"/>
        <v>#N/A</v>
      </c>
      <c r="EU17" s="325" t="e">
        <f t="shared" si="37"/>
        <v>#N/A</v>
      </c>
      <c r="EV17" s="336"/>
      <c r="EW17" s="336"/>
      <c r="EX17" s="336"/>
      <c r="EY17" s="336"/>
      <c r="EZ17" s="336"/>
      <c r="FA17" s="336"/>
      <c r="FB17" s="336"/>
    </row>
    <row r="18" spans="1:158" ht="41.5" customHeight="1" x14ac:dyDescent="0.3">
      <c r="A18" s="330"/>
      <c r="B18" s="318"/>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7"/>
      <c r="AN18" s="317"/>
      <c r="AO18" s="511" t="e">
        <f t="shared" si="39"/>
        <v>#N/A</v>
      </c>
      <c r="AP18" s="511" t="e">
        <f t="shared" si="40"/>
        <v>#N/A</v>
      </c>
      <c r="AQ18" s="511" t="e">
        <f t="shared" si="41"/>
        <v>#N/A</v>
      </c>
      <c r="AR18" s="511" t="e">
        <f t="shared" si="42"/>
        <v>#N/A</v>
      </c>
      <c r="AS18" s="511" t="e">
        <f>HLOOKUP($C$1,'Inflation Adjustments'!$BI$3:$BT$4,2)*CR18</f>
        <v>#N/A</v>
      </c>
      <c r="AT18" s="511">
        <f>IF(BU18="In Service",'Maintenace Cost Assumptions'!$B$3*AS18,0)</f>
        <v>0</v>
      </c>
      <c r="AU18" s="318"/>
      <c r="AV18" s="318"/>
      <c r="AW18" s="318"/>
      <c r="AX18" s="318"/>
      <c r="AY18" s="318"/>
      <c r="AZ18" s="318"/>
      <c r="BA18" s="318"/>
      <c r="BB18" s="318"/>
      <c r="BC18" s="318"/>
      <c r="BD18" s="318"/>
      <c r="BE18" s="318"/>
      <c r="BF18" s="318"/>
      <c r="BG18" s="332">
        <f>(AU18*'Condition rating weights'!H$8+AV18*'Condition rating weights'!I$8+AW18*'Condition rating weights'!J$8+AX18*'Condition rating weights'!K$8+AY18*'Condition rating weights'!L$8+AZ18*'Condition rating weights'!M$8+BA18*'Condition rating weights'!N$8+BB18*'Condition rating weights'!O$8+BC18*'Condition rating weights'!P$8+BD18*'Condition rating weights'!Q$8+BE18*'Condition rating weights'!R$8+BF18*'Condition rating weights'!S$8)/100</f>
        <v>0</v>
      </c>
      <c r="BH18" s="333"/>
      <c r="BI18" s="333"/>
      <c r="BJ18" s="333"/>
      <c r="BK18" s="333"/>
      <c r="BL18" s="333"/>
      <c r="BM18" s="333"/>
      <c r="BN18" s="333"/>
      <c r="BO18" s="333"/>
      <c r="BP18" s="333"/>
      <c r="BQ18" s="333"/>
      <c r="BR18" s="333"/>
      <c r="BS18" s="333"/>
      <c r="BT18" s="334"/>
      <c r="BU18" s="335"/>
      <c r="BV18" s="255"/>
      <c r="CH18" s="323" t="e">
        <f t="shared" si="6"/>
        <v>#N/A</v>
      </c>
      <c r="CI18" s="323" t="e">
        <f t="shared" si="7"/>
        <v>#N/A</v>
      </c>
      <c r="CJ18" s="323" t="e">
        <f t="shared" si="38"/>
        <v>#N/A</v>
      </c>
      <c r="CK18" s="323" t="e">
        <f t="shared" si="8"/>
        <v>#N/A</v>
      </c>
      <c r="CL18" s="323" t="e">
        <f t="shared" si="9"/>
        <v>#N/A</v>
      </c>
      <c r="CM18" s="323" t="e">
        <f t="shared" si="10"/>
        <v>#N/A</v>
      </c>
      <c r="CN18" s="323" t="e">
        <f t="shared" si="11"/>
        <v>#N/A</v>
      </c>
      <c r="CO18" s="323" t="e">
        <f t="shared" si="12"/>
        <v>#N/A</v>
      </c>
      <c r="CP18" s="323" t="e">
        <f t="shared" si="13"/>
        <v>#N/A</v>
      </c>
      <c r="CQ18" s="323" t="e">
        <f t="shared" si="14"/>
        <v>#N/A</v>
      </c>
      <c r="CR18" s="324" t="e">
        <f t="shared" si="33"/>
        <v>#N/A</v>
      </c>
      <c r="CS18" s="325" t="e">
        <f>(HLOOKUP($AI18,'Inflation Adjustments'!$B$3:$BT$4,2,TRUE))*CH18</f>
        <v>#N/A</v>
      </c>
      <c r="CT18" s="325" t="e">
        <f>(HLOOKUP($AI18,'Inflation Adjustments'!$B$3:$BT$4,2,TRUE))*CI18</f>
        <v>#N/A</v>
      </c>
      <c r="CU18" s="325" t="e">
        <f>(HLOOKUP($AI18,'Inflation Adjustments'!$B$3:$BT$4,2,TRUE))*CJ18</f>
        <v>#N/A</v>
      </c>
      <c r="CV18" s="325" t="e">
        <f>(HLOOKUP($AI18,'Inflation Adjustments'!$B$3:$BT$4,2,TRUE))*CK18</f>
        <v>#N/A</v>
      </c>
      <c r="CW18" s="325" t="e">
        <f>(HLOOKUP($AI18,'Inflation Adjustments'!$B$3:$BT$4,2,TRUE))*CL18</f>
        <v>#N/A</v>
      </c>
      <c r="CX18" s="325" t="e">
        <f>(HLOOKUP($AI18,'Inflation Adjustments'!$B$3:$BT$4,2,TRUE))*CM18</f>
        <v>#N/A</v>
      </c>
      <c r="CY18" s="325" t="e">
        <f>(HLOOKUP($AI18,'Inflation Adjustments'!$B$3:$BT$4,2,TRUE))*CN18</f>
        <v>#N/A</v>
      </c>
      <c r="CZ18" s="325" t="e">
        <f>(HLOOKUP($AI18,'Inflation Adjustments'!$B$3:$BT$4,2,TRUE))*CO18</f>
        <v>#N/A</v>
      </c>
      <c r="DA18" s="325" t="e">
        <f>(HLOOKUP($AI18,'Inflation Adjustments'!$B$3:$BT$4,2,TRUE))*CP18</f>
        <v>#N/A</v>
      </c>
      <c r="DB18" s="325" t="e">
        <f>(HLOOKUP($AI18,'Inflation Adjustments'!$B$3:$BT$4,2,TRUE))*CQ18</f>
        <v>#N/A</v>
      </c>
      <c r="DC18" s="325" t="e">
        <f t="shared" si="34"/>
        <v>#N/A</v>
      </c>
      <c r="DD18" s="326">
        <f t="shared" si="15"/>
        <v>2022</v>
      </c>
      <c r="DE18" s="323" t="e">
        <f t="shared" si="16"/>
        <v>#N/A</v>
      </c>
      <c r="DF18" s="323" t="e">
        <f t="shared" si="17"/>
        <v>#N/A</v>
      </c>
      <c r="DG18" s="323" t="e">
        <f t="shared" si="18"/>
        <v>#N/A</v>
      </c>
      <c r="DH18" s="323" t="e">
        <f t="shared" si="19"/>
        <v>#N/A</v>
      </c>
      <c r="DI18" s="323" t="e">
        <f t="shared" si="20"/>
        <v>#N/A</v>
      </c>
      <c r="DJ18" s="323" t="e">
        <f t="shared" si="21"/>
        <v>#N/A</v>
      </c>
      <c r="DK18" s="323" t="e">
        <f t="shared" si="22"/>
        <v>#N/A</v>
      </c>
      <c r="DL18" s="323" t="e">
        <f t="shared" si="23"/>
        <v>#N/A</v>
      </c>
      <c r="DM18" s="323" t="e">
        <f t="shared" si="24"/>
        <v>#N/A</v>
      </c>
      <c r="DN18" s="323" t="e">
        <f t="shared" si="25"/>
        <v>#N/A</v>
      </c>
      <c r="DO18" s="327" t="e">
        <f t="shared" si="26"/>
        <v>#N/A</v>
      </c>
      <c r="DP18" s="327" t="e">
        <f t="shared" si="43"/>
        <v>#N/A</v>
      </c>
      <c r="DQ18" s="327" t="e">
        <f t="shared" si="43"/>
        <v>#N/A</v>
      </c>
      <c r="DR18" s="327" t="e">
        <f t="shared" si="43"/>
        <v>#N/A</v>
      </c>
      <c r="DS18" s="327" t="e">
        <f t="shared" si="43"/>
        <v>#N/A</v>
      </c>
      <c r="DT18" s="327" t="e">
        <f t="shared" si="43"/>
        <v>#N/A</v>
      </c>
      <c r="DU18" s="327" t="e">
        <f t="shared" si="43"/>
        <v>#N/A</v>
      </c>
      <c r="DV18" s="327" t="e">
        <f t="shared" si="43"/>
        <v>#N/A</v>
      </c>
      <c r="DW18" s="327" t="e">
        <f t="shared" si="43"/>
        <v>#N/A</v>
      </c>
      <c r="DX18" s="327" t="e">
        <f t="shared" si="43"/>
        <v>#N/A</v>
      </c>
      <c r="DY18" s="327" t="e">
        <f t="shared" si="35"/>
        <v>#N/A</v>
      </c>
      <c r="DZ18" s="323" t="e">
        <f t="shared" si="28"/>
        <v>#N/A</v>
      </c>
      <c r="EA18" s="323" t="e">
        <f t="shared" si="44"/>
        <v>#N/A</v>
      </c>
      <c r="EB18" s="323" t="e">
        <f t="shared" si="44"/>
        <v>#N/A</v>
      </c>
      <c r="EC18" s="323" t="e">
        <f t="shared" si="44"/>
        <v>#N/A</v>
      </c>
      <c r="ED18" s="323" t="e">
        <f t="shared" si="44"/>
        <v>#N/A</v>
      </c>
      <c r="EE18" s="323" t="e">
        <f t="shared" si="44"/>
        <v>#N/A</v>
      </c>
      <c r="EF18" s="323" t="e">
        <f t="shared" si="44"/>
        <v>#N/A</v>
      </c>
      <c r="EG18" s="323" t="e">
        <f t="shared" si="44"/>
        <v>#N/A</v>
      </c>
      <c r="EH18" s="323" t="e">
        <f t="shared" si="44"/>
        <v>#N/A</v>
      </c>
      <c r="EI18" s="323" t="e">
        <f t="shared" si="44"/>
        <v>#N/A</v>
      </c>
      <c r="EJ18" s="324" t="e">
        <f t="shared" si="36"/>
        <v>#N/A</v>
      </c>
      <c r="EK18" s="327" t="e">
        <f t="shared" si="30"/>
        <v>#N/A</v>
      </c>
      <c r="EL18" s="327" t="e">
        <f t="shared" si="45"/>
        <v>#N/A</v>
      </c>
      <c r="EM18" s="327" t="e">
        <f t="shared" si="45"/>
        <v>#N/A</v>
      </c>
      <c r="EN18" s="327" t="e">
        <f t="shared" si="45"/>
        <v>#N/A</v>
      </c>
      <c r="EO18" s="327" t="e">
        <f t="shared" si="45"/>
        <v>#N/A</v>
      </c>
      <c r="EP18" s="327" t="e">
        <f t="shared" si="45"/>
        <v>#N/A</v>
      </c>
      <c r="EQ18" s="327" t="e">
        <f t="shared" si="45"/>
        <v>#N/A</v>
      </c>
      <c r="ER18" s="327" t="e">
        <f t="shared" si="45"/>
        <v>#N/A</v>
      </c>
      <c r="ES18" s="327" t="e">
        <f t="shared" si="45"/>
        <v>#N/A</v>
      </c>
      <c r="ET18" s="327" t="e">
        <f t="shared" si="45"/>
        <v>#N/A</v>
      </c>
      <c r="EU18" s="325" t="e">
        <f t="shared" si="37"/>
        <v>#N/A</v>
      </c>
      <c r="EV18" s="336"/>
      <c r="EW18" s="336"/>
      <c r="EX18" s="336"/>
      <c r="EY18" s="336"/>
      <c r="EZ18" s="336"/>
      <c r="FA18" s="336"/>
      <c r="FB18" s="336"/>
    </row>
    <row r="19" spans="1:158" ht="59.5" customHeight="1" x14ac:dyDescent="0.3">
      <c r="A19" s="330"/>
      <c r="B19" s="318"/>
      <c r="C19" s="318"/>
      <c r="D19" s="318"/>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7"/>
      <c r="AN19" s="317"/>
      <c r="AO19" s="511" t="e">
        <f t="shared" si="39"/>
        <v>#N/A</v>
      </c>
      <c r="AP19" s="511" t="e">
        <f t="shared" si="40"/>
        <v>#N/A</v>
      </c>
      <c r="AQ19" s="511" t="e">
        <f t="shared" si="41"/>
        <v>#N/A</v>
      </c>
      <c r="AR19" s="511" t="e">
        <f t="shared" si="42"/>
        <v>#N/A</v>
      </c>
      <c r="AS19" s="511" t="e">
        <f>HLOOKUP($C$1,'Inflation Adjustments'!$BI$3:$BT$4,2)*CR19</f>
        <v>#N/A</v>
      </c>
      <c r="AT19" s="511">
        <f>IF(BU19="In Service",'Maintenace Cost Assumptions'!$B$3*AS19,0)</f>
        <v>0</v>
      </c>
      <c r="AU19" s="318"/>
      <c r="AV19" s="318"/>
      <c r="AW19" s="318"/>
      <c r="AX19" s="318"/>
      <c r="AY19" s="318"/>
      <c r="AZ19" s="318"/>
      <c r="BA19" s="318"/>
      <c r="BB19" s="318"/>
      <c r="BC19" s="318"/>
      <c r="BD19" s="318"/>
      <c r="BE19" s="318"/>
      <c r="BF19" s="318"/>
      <c r="BG19" s="332">
        <f>(AU19*'Condition rating weights'!H$8+AV19*'Condition rating weights'!I$8+AW19*'Condition rating weights'!J$8+AX19*'Condition rating weights'!K$8+AY19*'Condition rating weights'!L$8+AZ19*'Condition rating weights'!M$8+BA19*'Condition rating weights'!N$8+BB19*'Condition rating weights'!O$8+BC19*'Condition rating weights'!P$8+BD19*'Condition rating weights'!Q$8+BE19*'Condition rating weights'!R$8+BF19*'Condition rating weights'!S$8)/100</f>
        <v>0</v>
      </c>
      <c r="BH19" s="333"/>
      <c r="BI19" s="333"/>
      <c r="BJ19" s="333"/>
      <c r="BK19" s="333"/>
      <c r="BL19" s="333"/>
      <c r="BM19" s="333"/>
      <c r="BN19" s="333"/>
      <c r="BO19" s="333"/>
      <c r="BP19" s="333"/>
      <c r="BQ19" s="333"/>
      <c r="BR19" s="333"/>
      <c r="BS19" s="333"/>
      <c r="BT19" s="334"/>
      <c r="BU19" s="335"/>
      <c r="BV19" s="255"/>
      <c r="CH19" s="323" t="e">
        <f t="shared" si="6"/>
        <v>#N/A</v>
      </c>
      <c r="CI19" s="323" t="e">
        <f t="shared" si="7"/>
        <v>#N/A</v>
      </c>
      <c r="CJ19" s="323" t="e">
        <f t="shared" si="38"/>
        <v>#N/A</v>
      </c>
      <c r="CK19" s="323" t="e">
        <f t="shared" si="8"/>
        <v>#N/A</v>
      </c>
      <c r="CL19" s="323" t="e">
        <f t="shared" si="9"/>
        <v>#N/A</v>
      </c>
      <c r="CM19" s="323" t="e">
        <f t="shared" si="10"/>
        <v>#N/A</v>
      </c>
      <c r="CN19" s="323" t="e">
        <f t="shared" si="11"/>
        <v>#N/A</v>
      </c>
      <c r="CO19" s="323" t="e">
        <f t="shared" si="12"/>
        <v>#N/A</v>
      </c>
      <c r="CP19" s="323" t="e">
        <f t="shared" si="13"/>
        <v>#N/A</v>
      </c>
      <c r="CQ19" s="323" t="e">
        <f t="shared" si="14"/>
        <v>#N/A</v>
      </c>
      <c r="CR19" s="324" t="e">
        <f t="shared" si="33"/>
        <v>#N/A</v>
      </c>
      <c r="CS19" s="325" t="e">
        <f>(HLOOKUP($AI19,'Inflation Adjustments'!$B$3:$BT$4,2,TRUE))*CH19</f>
        <v>#N/A</v>
      </c>
      <c r="CT19" s="325" t="e">
        <f>(HLOOKUP($AI19,'Inflation Adjustments'!$B$3:$BT$4,2,TRUE))*CI19</f>
        <v>#N/A</v>
      </c>
      <c r="CU19" s="325" t="e">
        <f>(HLOOKUP($AI19,'Inflation Adjustments'!$B$3:$BT$4,2,TRUE))*CJ19</f>
        <v>#N/A</v>
      </c>
      <c r="CV19" s="325" t="e">
        <f>(HLOOKUP($AI19,'Inflation Adjustments'!$B$3:$BT$4,2,TRUE))*CK19</f>
        <v>#N/A</v>
      </c>
      <c r="CW19" s="325" t="e">
        <f>(HLOOKUP($AI19,'Inflation Adjustments'!$B$3:$BT$4,2,TRUE))*CL19</f>
        <v>#N/A</v>
      </c>
      <c r="CX19" s="325" t="e">
        <f>(HLOOKUP($AI19,'Inflation Adjustments'!$B$3:$BT$4,2,TRUE))*CM19</f>
        <v>#N/A</v>
      </c>
      <c r="CY19" s="325" t="e">
        <f>(HLOOKUP($AI19,'Inflation Adjustments'!$B$3:$BT$4,2,TRUE))*CN19</f>
        <v>#N/A</v>
      </c>
      <c r="CZ19" s="325" t="e">
        <f>(HLOOKUP($AI19,'Inflation Adjustments'!$B$3:$BT$4,2,TRUE))*CO19</f>
        <v>#N/A</v>
      </c>
      <c r="DA19" s="325" t="e">
        <f>(HLOOKUP($AI19,'Inflation Adjustments'!$B$3:$BT$4,2,TRUE))*CP19</f>
        <v>#N/A</v>
      </c>
      <c r="DB19" s="325" t="e">
        <f>(HLOOKUP($AI19,'Inflation Adjustments'!$B$3:$BT$4,2,TRUE))*CQ19</f>
        <v>#N/A</v>
      </c>
      <c r="DC19" s="325" t="e">
        <f t="shared" si="34"/>
        <v>#N/A</v>
      </c>
      <c r="DD19" s="326">
        <f t="shared" si="15"/>
        <v>2022</v>
      </c>
      <c r="DE19" s="323" t="e">
        <f t="shared" si="16"/>
        <v>#N/A</v>
      </c>
      <c r="DF19" s="323" t="e">
        <f t="shared" si="17"/>
        <v>#N/A</v>
      </c>
      <c r="DG19" s="323" t="e">
        <f t="shared" si="18"/>
        <v>#N/A</v>
      </c>
      <c r="DH19" s="323" t="e">
        <f t="shared" si="19"/>
        <v>#N/A</v>
      </c>
      <c r="DI19" s="323" t="e">
        <f t="shared" si="20"/>
        <v>#N/A</v>
      </c>
      <c r="DJ19" s="323" t="e">
        <f t="shared" si="21"/>
        <v>#N/A</v>
      </c>
      <c r="DK19" s="323" t="e">
        <f t="shared" si="22"/>
        <v>#N/A</v>
      </c>
      <c r="DL19" s="323" t="e">
        <f t="shared" si="23"/>
        <v>#N/A</v>
      </c>
      <c r="DM19" s="323" t="e">
        <f t="shared" si="24"/>
        <v>#N/A</v>
      </c>
      <c r="DN19" s="323" t="e">
        <f t="shared" si="25"/>
        <v>#N/A</v>
      </c>
      <c r="DO19" s="327" t="e">
        <f t="shared" si="26"/>
        <v>#N/A</v>
      </c>
      <c r="DP19" s="327" t="e">
        <f t="shared" si="43"/>
        <v>#N/A</v>
      </c>
      <c r="DQ19" s="327" t="e">
        <f t="shared" si="43"/>
        <v>#N/A</v>
      </c>
      <c r="DR19" s="327" t="e">
        <f t="shared" si="43"/>
        <v>#N/A</v>
      </c>
      <c r="DS19" s="327" t="e">
        <f t="shared" si="43"/>
        <v>#N/A</v>
      </c>
      <c r="DT19" s="327" t="e">
        <f t="shared" si="43"/>
        <v>#N/A</v>
      </c>
      <c r="DU19" s="327" t="e">
        <f t="shared" si="43"/>
        <v>#N/A</v>
      </c>
      <c r="DV19" s="327" t="e">
        <f t="shared" si="43"/>
        <v>#N/A</v>
      </c>
      <c r="DW19" s="327" t="e">
        <f t="shared" si="43"/>
        <v>#N/A</v>
      </c>
      <c r="DX19" s="327" t="e">
        <f t="shared" si="43"/>
        <v>#N/A</v>
      </c>
      <c r="DY19" s="327" t="e">
        <f t="shared" si="35"/>
        <v>#N/A</v>
      </c>
      <c r="DZ19" s="323" t="e">
        <f t="shared" si="28"/>
        <v>#N/A</v>
      </c>
      <c r="EA19" s="323" t="e">
        <f t="shared" si="44"/>
        <v>#N/A</v>
      </c>
      <c r="EB19" s="323" t="e">
        <f t="shared" si="44"/>
        <v>#N/A</v>
      </c>
      <c r="EC19" s="323" t="e">
        <f t="shared" si="44"/>
        <v>#N/A</v>
      </c>
      <c r="ED19" s="323" t="e">
        <f t="shared" si="44"/>
        <v>#N/A</v>
      </c>
      <c r="EE19" s="323" t="e">
        <f t="shared" si="44"/>
        <v>#N/A</v>
      </c>
      <c r="EF19" s="323" t="e">
        <f t="shared" si="44"/>
        <v>#N/A</v>
      </c>
      <c r="EG19" s="323" t="e">
        <f t="shared" si="44"/>
        <v>#N/A</v>
      </c>
      <c r="EH19" s="323" t="e">
        <f t="shared" si="44"/>
        <v>#N/A</v>
      </c>
      <c r="EI19" s="323" t="e">
        <f t="shared" si="44"/>
        <v>#N/A</v>
      </c>
      <c r="EJ19" s="324" t="e">
        <f t="shared" si="36"/>
        <v>#N/A</v>
      </c>
      <c r="EK19" s="327" t="e">
        <f t="shared" si="30"/>
        <v>#N/A</v>
      </c>
      <c r="EL19" s="327" t="e">
        <f t="shared" si="45"/>
        <v>#N/A</v>
      </c>
      <c r="EM19" s="327" t="e">
        <f t="shared" si="45"/>
        <v>#N/A</v>
      </c>
      <c r="EN19" s="327" t="e">
        <f t="shared" si="45"/>
        <v>#N/A</v>
      </c>
      <c r="EO19" s="327" t="e">
        <f t="shared" si="45"/>
        <v>#N/A</v>
      </c>
      <c r="EP19" s="327" t="e">
        <f t="shared" si="45"/>
        <v>#N/A</v>
      </c>
      <c r="EQ19" s="327" t="e">
        <f t="shared" si="45"/>
        <v>#N/A</v>
      </c>
      <c r="ER19" s="327" t="e">
        <f t="shared" si="45"/>
        <v>#N/A</v>
      </c>
      <c r="ES19" s="327" t="e">
        <f t="shared" si="45"/>
        <v>#N/A</v>
      </c>
      <c r="ET19" s="327" t="e">
        <f t="shared" si="45"/>
        <v>#N/A</v>
      </c>
      <c r="EU19" s="325" t="e">
        <f t="shared" si="37"/>
        <v>#N/A</v>
      </c>
      <c r="EV19" s="336"/>
      <c r="EW19" s="336"/>
      <c r="EX19" s="336"/>
      <c r="EY19" s="336"/>
      <c r="EZ19" s="336"/>
      <c r="FA19" s="336"/>
      <c r="FB19" s="336"/>
    </row>
    <row r="20" spans="1:158" ht="59.5" customHeight="1" x14ac:dyDescent="0.3">
      <c r="A20" s="330"/>
      <c r="B20" s="318"/>
      <c r="C20" s="318"/>
      <c r="D20" s="318"/>
      <c r="E20" s="318"/>
      <c r="F20" s="318"/>
      <c r="G20" s="318"/>
      <c r="H20" s="318"/>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18"/>
      <c r="AI20" s="318"/>
      <c r="AJ20" s="318"/>
      <c r="AK20" s="318"/>
      <c r="AL20" s="318"/>
      <c r="AM20" s="317"/>
      <c r="AN20" s="317"/>
      <c r="AO20" s="511" t="e">
        <f t="shared" si="39"/>
        <v>#N/A</v>
      </c>
      <c r="AP20" s="511" t="e">
        <f t="shared" si="40"/>
        <v>#N/A</v>
      </c>
      <c r="AQ20" s="511" t="e">
        <f t="shared" si="41"/>
        <v>#N/A</v>
      </c>
      <c r="AR20" s="511" t="e">
        <f t="shared" si="42"/>
        <v>#N/A</v>
      </c>
      <c r="AS20" s="511" t="e">
        <f>HLOOKUP($C$1,'Inflation Adjustments'!$BI$3:$BT$4,2)*CR20</f>
        <v>#N/A</v>
      </c>
      <c r="AT20" s="511">
        <f>IF(BU20="In Service",'Maintenace Cost Assumptions'!$B$3*AS20,0)</f>
        <v>0</v>
      </c>
      <c r="AU20" s="318"/>
      <c r="AV20" s="318"/>
      <c r="AW20" s="318"/>
      <c r="AX20" s="318"/>
      <c r="AY20" s="318"/>
      <c r="AZ20" s="318"/>
      <c r="BA20" s="318"/>
      <c r="BB20" s="318"/>
      <c r="BC20" s="318"/>
      <c r="BD20" s="318"/>
      <c r="BE20" s="318"/>
      <c r="BF20" s="318"/>
      <c r="BG20" s="332">
        <f>(AU20*'Condition rating weights'!H$8+AV20*'Condition rating weights'!I$8+AW20*'Condition rating weights'!J$8+AX20*'Condition rating weights'!K$8+AY20*'Condition rating weights'!L$8+AZ20*'Condition rating weights'!M$8+BA20*'Condition rating weights'!N$8+BB20*'Condition rating weights'!O$8+BC20*'Condition rating weights'!P$8+BD20*'Condition rating weights'!Q$8+BE20*'Condition rating weights'!R$8+BF20*'Condition rating weights'!S$8)/100</f>
        <v>0</v>
      </c>
      <c r="BH20" s="333"/>
      <c r="BI20" s="333"/>
      <c r="BJ20" s="333"/>
      <c r="BK20" s="333"/>
      <c r="BL20" s="333"/>
      <c r="BM20" s="333"/>
      <c r="BN20" s="333"/>
      <c r="BO20" s="333"/>
      <c r="BP20" s="333"/>
      <c r="BQ20" s="333"/>
      <c r="BR20" s="333"/>
      <c r="BS20" s="333"/>
      <c r="BT20" s="334"/>
      <c r="BU20" s="335"/>
      <c r="BV20" s="255"/>
      <c r="CH20" s="323" t="e">
        <f t="shared" si="6"/>
        <v>#N/A</v>
      </c>
      <c r="CI20" s="323" t="e">
        <f t="shared" si="7"/>
        <v>#N/A</v>
      </c>
      <c r="CJ20" s="323" t="e">
        <f t="shared" si="38"/>
        <v>#N/A</v>
      </c>
      <c r="CK20" s="323" t="e">
        <f t="shared" si="8"/>
        <v>#N/A</v>
      </c>
      <c r="CL20" s="323" t="e">
        <f t="shared" si="9"/>
        <v>#N/A</v>
      </c>
      <c r="CM20" s="323" t="e">
        <f t="shared" si="10"/>
        <v>#N/A</v>
      </c>
      <c r="CN20" s="323" t="e">
        <f t="shared" si="11"/>
        <v>#N/A</v>
      </c>
      <c r="CO20" s="323" t="e">
        <f t="shared" si="12"/>
        <v>#N/A</v>
      </c>
      <c r="CP20" s="323" t="e">
        <f t="shared" si="13"/>
        <v>#N/A</v>
      </c>
      <c r="CQ20" s="323" t="e">
        <f t="shared" si="14"/>
        <v>#N/A</v>
      </c>
      <c r="CR20" s="324" t="e">
        <f t="shared" si="33"/>
        <v>#N/A</v>
      </c>
      <c r="CS20" s="325" t="e">
        <f>(HLOOKUP($AI20,'Inflation Adjustments'!$B$3:$BT$4,2,TRUE))*CH20</f>
        <v>#N/A</v>
      </c>
      <c r="CT20" s="325" t="e">
        <f>(HLOOKUP($AI20,'Inflation Adjustments'!$B$3:$BT$4,2,TRUE))*CI20</f>
        <v>#N/A</v>
      </c>
      <c r="CU20" s="325" t="e">
        <f>(HLOOKUP($AI20,'Inflation Adjustments'!$B$3:$BT$4,2,TRUE))*CJ20</f>
        <v>#N/A</v>
      </c>
      <c r="CV20" s="325" t="e">
        <f>(HLOOKUP($AI20,'Inflation Adjustments'!$B$3:$BT$4,2,TRUE))*CK20</f>
        <v>#N/A</v>
      </c>
      <c r="CW20" s="325" t="e">
        <f>(HLOOKUP($AI20,'Inflation Adjustments'!$B$3:$BT$4,2,TRUE))*CL20</f>
        <v>#N/A</v>
      </c>
      <c r="CX20" s="325" t="e">
        <f>(HLOOKUP($AI20,'Inflation Adjustments'!$B$3:$BT$4,2,TRUE))*CM20</f>
        <v>#N/A</v>
      </c>
      <c r="CY20" s="325" t="e">
        <f>(HLOOKUP($AI20,'Inflation Adjustments'!$B$3:$BT$4,2,TRUE))*CN20</f>
        <v>#N/A</v>
      </c>
      <c r="CZ20" s="325" t="e">
        <f>(HLOOKUP($AI20,'Inflation Adjustments'!$B$3:$BT$4,2,TRUE))*CO20</f>
        <v>#N/A</v>
      </c>
      <c r="DA20" s="325" t="e">
        <f>(HLOOKUP($AI20,'Inflation Adjustments'!$B$3:$BT$4,2,TRUE))*CP20</f>
        <v>#N/A</v>
      </c>
      <c r="DB20" s="325" t="e">
        <f>(HLOOKUP($AI20,'Inflation Adjustments'!$B$3:$BT$4,2,TRUE))*CQ20</f>
        <v>#N/A</v>
      </c>
      <c r="DC20" s="325" t="e">
        <f t="shared" si="34"/>
        <v>#N/A</v>
      </c>
      <c r="DD20" s="326">
        <f t="shared" si="15"/>
        <v>2022</v>
      </c>
      <c r="DE20" s="323" t="e">
        <f t="shared" si="16"/>
        <v>#N/A</v>
      </c>
      <c r="DF20" s="323" t="e">
        <f t="shared" si="17"/>
        <v>#N/A</v>
      </c>
      <c r="DG20" s="323" t="e">
        <f t="shared" si="18"/>
        <v>#N/A</v>
      </c>
      <c r="DH20" s="323" t="e">
        <f t="shared" si="19"/>
        <v>#N/A</v>
      </c>
      <c r="DI20" s="323" t="e">
        <f t="shared" si="20"/>
        <v>#N/A</v>
      </c>
      <c r="DJ20" s="323" t="e">
        <f t="shared" si="21"/>
        <v>#N/A</v>
      </c>
      <c r="DK20" s="323" t="e">
        <f t="shared" si="22"/>
        <v>#N/A</v>
      </c>
      <c r="DL20" s="323" t="e">
        <f t="shared" si="23"/>
        <v>#N/A</v>
      </c>
      <c r="DM20" s="323" t="e">
        <f t="shared" si="24"/>
        <v>#N/A</v>
      </c>
      <c r="DN20" s="323" t="e">
        <f t="shared" si="25"/>
        <v>#N/A</v>
      </c>
      <c r="DO20" s="327" t="e">
        <f t="shared" si="26"/>
        <v>#N/A</v>
      </c>
      <c r="DP20" s="327" t="e">
        <f t="shared" si="43"/>
        <v>#N/A</v>
      </c>
      <c r="DQ20" s="327" t="e">
        <f t="shared" si="43"/>
        <v>#N/A</v>
      </c>
      <c r="DR20" s="327" t="e">
        <f t="shared" si="43"/>
        <v>#N/A</v>
      </c>
      <c r="DS20" s="327" t="e">
        <f t="shared" si="43"/>
        <v>#N/A</v>
      </c>
      <c r="DT20" s="327" t="e">
        <f t="shared" si="43"/>
        <v>#N/A</v>
      </c>
      <c r="DU20" s="327" t="e">
        <f t="shared" si="43"/>
        <v>#N/A</v>
      </c>
      <c r="DV20" s="327" t="e">
        <f t="shared" si="43"/>
        <v>#N/A</v>
      </c>
      <c r="DW20" s="327" t="e">
        <f t="shared" si="43"/>
        <v>#N/A</v>
      </c>
      <c r="DX20" s="327" t="e">
        <f t="shared" si="43"/>
        <v>#N/A</v>
      </c>
      <c r="DY20" s="327" t="e">
        <f t="shared" si="35"/>
        <v>#N/A</v>
      </c>
      <c r="DZ20" s="323" t="e">
        <f t="shared" si="28"/>
        <v>#N/A</v>
      </c>
      <c r="EA20" s="323" t="e">
        <f t="shared" si="44"/>
        <v>#N/A</v>
      </c>
      <c r="EB20" s="323" t="e">
        <f t="shared" si="44"/>
        <v>#N/A</v>
      </c>
      <c r="EC20" s="323" t="e">
        <f t="shared" si="44"/>
        <v>#N/A</v>
      </c>
      <c r="ED20" s="323" t="e">
        <f t="shared" si="44"/>
        <v>#N/A</v>
      </c>
      <c r="EE20" s="323" t="e">
        <f t="shared" si="44"/>
        <v>#N/A</v>
      </c>
      <c r="EF20" s="323" t="e">
        <f t="shared" si="44"/>
        <v>#N/A</v>
      </c>
      <c r="EG20" s="323" t="e">
        <f t="shared" si="44"/>
        <v>#N/A</v>
      </c>
      <c r="EH20" s="323" t="e">
        <f t="shared" si="44"/>
        <v>#N/A</v>
      </c>
      <c r="EI20" s="323" t="e">
        <f t="shared" si="44"/>
        <v>#N/A</v>
      </c>
      <c r="EJ20" s="324" t="e">
        <f t="shared" si="36"/>
        <v>#N/A</v>
      </c>
      <c r="EK20" s="327" t="e">
        <f t="shared" si="30"/>
        <v>#N/A</v>
      </c>
      <c r="EL20" s="327" t="e">
        <f t="shared" si="45"/>
        <v>#N/A</v>
      </c>
      <c r="EM20" s="327" t="e">
        <f t="shared" si="45"/>
        <v>#N/A</v>
      </c>
      <c r="EN20" s="327" t="e">
        <f t="shared" si="45"/>
        <v>#N/A</v>
      </c>
      <c r="EO20" s="327" t="e">
        <f t="shared" si="45"/>
        <v>#N/A</v>
      </c>
      <c r="EP20" s="327" t="e">
        <f t="shared" si="45"/>
        <v>#N/A</v>
      </c>
      <c r="EQ20" s="327" t="e">
        <f t="shared" si="45"/>
        <v>#N/A</v>
      </c>
      <c r="ER20" s="327" t="e">
        <f t="shared" si="45"/>
        <v>#N/A</v>
      </c>
      <c r="ES20" s="327" t="e">
        <f t="shared" si="45"/>
        <v>#N/A</v>
      </c>
      <c r="ET20" s="327" t="e">
        <f t="shared" si="45"/>
        <v>#N/A</v>
      </c>
      <c r="EU20" s="325" t="e">
        <f t="shared" si="37"/>
        <v>#N/A</v>
      </c>
      <c r="EV20" s="336"/>
      <c r="EW20" s="336"/>
      <c r="EX20" s="336"/>
      <c r="EY20" s="336"/>
      <c r="EZ20" s="336"/>
      <c r="FA20" s="336"/>
      <c r="FB20" s="336"/>
    </row>
    <row r="21" spans="1:158" x14ac:dyDescent="0.3">
      <c r="A21" s="255"/>
      <c r="B21" s="255"/>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c r="BM21" s="255"/>
      <c r="BN21" s="255"/>
      <c r="BO21" s="255"/>
      <c r="BP21" s="255"/>
      <c r="BQ21" s="255"/>
      <c r="BR21" s="255"/>
      <c r="BS21" s="255"/>
      <c r="BT21" s="339"/>
      <c r="BU21" s="339"/>
      <c r="BV21" s="255"/>
      <c r="CH21" s="340"/>
      <c r="CI21" s="340"/>
      <c r="CJ21" s="340"/>
      <c r="CK21" s="340"/>
      <c r="CL21" s="340"/>
      <c r="CM21" s="340"/>
      <c r="CN21" s="340"/>
      <c r="CO21" s="340"/>
      <c r="CP21" s="340"/>
      <c r="CQ21" s="340"/>
      <c r="CR21" s="341"/>
      <c r="CS21" s="341"/>
      <c r="CT21" s="341"/>
      <c r="CU21" s="341"/>
      <c r="CV21" s="341"/>
      <c r="CW21" s="341"/>
    </row>
    <row r="22" spans="1:158" x14ac:dyDescent="0.3">
      <c r="A22" s="255"/>
      <c r="B22" s="255"/>
      <c r="C22" s="255"/>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342"/>
      <c r="AN22" s="342"/>
      <c r="AO22" s="342"/>
      <c r="AP22" s="342"/>
      <c r="AQ22" s="342"/>
      <c r="AR22" s="342"/>
      <c r="AS22" s="343"/>
      <c r="AT22" s="343"/>
      <c r="AU22" s="255"/>
      <c r="AV22" s="255"/>
      <c r="AW22" s="255"/>
      <c r="AX22" s="255"/>
      <c r="AY22" s="255"/>
      <c r="AZ22" s="255"/>
      <c r="BA22" s="255"/>
      <c r="BB22" s="255"/>
      <c r="BC22" s="255"/>
      <c r="BD22" s="255"/>
      <c r="BE22" s="255"/>
      <c r="BF22" s="255"/>
      <c r="BG22" s="255"/>
      <c r="BH22" s="255"/>
      <c r="BI22" s="255"/>
      <c r="BJ22" s="255"/>
      <c r="BK22" s="255"/>
      <c r="BL22" s="255"/>
      <c r="BM22" s="255"/>
      <c r="BN22" s="255"/>
      <c r="BO22" s="255"/>
      <c r="BP22" s="255"/>
      <c r="BQ22" s="255"/>
      <c r="BR22" s="255"/>
      <c r="BS22" s="255"/>
      <c r="BT22" s="339"/>
      <c r="BU22" s="339"/>
      <c r="BV22" s="255"/>
    </row>
    <row r="50" spans="2:46" ht="39" customHeight="1" x14ac:dyDescent="0.3">
      <c r="B50" s="91" t="s">
        <v>52</v>
      </c>
      <c r="AM50" s="343">
        <f>SUM(AM5:AM48)</f>
        <v>3740978.9559118613</v>
      </c>
      <c r="AN50" s="343"/>
      <c r="AO50" s="343">
        <f>SUM(AO5:AO8)</f>
        <v>2507883.9907824672</v>
      </c>
      <c r="AP50" s="343">
        <f t="shared" ref="AP50:AT50" si="46">SUM(AP5:AP8)</f>
        <v>1233094.9651293941</v>
      </c>
      <c r="AQ50" s="343">
        <f t="shared" si="46"/>
        <v>43483.264955608669</v>
      </c>
      <c r="AR50" s="343">
        <f t="shared" si="46"/>
        <v>1189611.7001737852</v>
      </c>
      <c r="AS50" s="343">
        <f t="shared" si="46"/>
        <v>15729098.403374998</v>
      </c>
      <c r="AT50" s="343">
        <f t="shared" si="46"/>
        <v>78645.492016874981</v>
      </c>
    </row>
    <row r="51" spans="2:46" x14ac:dyDescent="0.3">
      <c r="AM51" s="91" t="s">
        <v>1856</v>
      </c>
      <c r="AO51" s="91" t="s">
        <v>826</v>
      </c>
      <c r="AP51" s="91" t="s">
        <v>1857</v>
      </c>
      <c r="AS51" s="91" t="s">
        <v>816</v>
      </c>
      <c r="AT51" s="91" t="s">
        <v>1858</v>
      </c>
    </row>
  </sheetData>
  <mergeCells count="52">
    <mergeCell ref="FB3:FB4"/>
    <mergeCell ref="CS3:DC3"/>
    <mergeCell ref="DE3:DN3"/>
    <mergeCell ref="DO3:DY3"/>
    <mergeCell ref="DZ3:EJ3"/>
    <mergeCell ref="EK3:EU3"/>
    <mergeCell ref="EV3:EV4"/>
    <mergeCell ref="EW3:EW4"/>
    <mergeCell ref="EX3:EX4"/>
    <mergeCell ref="EY3:EY4"/>
    <mergeCell ref="EZ3:EZ4"/>
    <mergeCell ref="FA3:FA4"/>
    <mergeCell ref="CH3:CR3"/>
    <mergeCell ref="BJ3:BJ4"/>
    <mergeCell ref="BK3:BK4"/>
    <mergeCell ref="BL3:BL4"/>
    <mergeCell ref="BM3:BM4"/>
    <mergeCell ref="BN3:BN4"/>
    <mergeCell ref="BO3:BO4"/>
    <mergeCell ref="BP3:BP4"/>
    <mergeCell ref="BQ3:BQ4"/>
    <mergeCell ref="BR3:BR4"/>
    <mergeCell ref="BS3:BS4"/>
    <mergeCell ref="BT3:BT4"/>
    <mergeCell ref="BU3:BU4"/>
    <mergeCell ref="BI3:BI4"/>
    <mergeCell ref="AO3:AO4"/>
    <mergeCell ref="AP3:AP4"/>
    <mergeCell ref="AQ3:AQ4"/>
    <mergeCell ref="AR3:AR4"/>
    <mergeCell ref="AS3:AS4"/>
    <mergeCell ref="AT3:AT4"/>
    <mergeCell ref="AU3:BD3"/>
    <mergeCell ref="BE3:BE4"/>
    <mergeCell ref="BF3:BF4"/>
    <mergeCell ref="BH3:BH4"/>
    <mergeCell ref="FE5:FJ5"/>
    <mergeCell ref="FE6:FJ6"/>
    <mergeCell ref="FE7:FJ7"/>
    <mergeCell ref="A2:I2"/>
    <mergeCell ref="J2:AE2"/>
    <mergeCell ref="DO2:EJ2"/>
    <mergeCell ref="EV2:FB2"/>
    <mergeCell ref="AM3:AN3"/>
    <mergeCell ref="AF2:AR2"/>
    <mergeCell ref="AS2:BG2"/>
    <mergeCell ref="BH2:BT2"/>
    <mergeCell ref="J3:S3"/>
    <mergeCell ref="T3:AC3"/>
    <mergeCell ref="AD3:AE3"/>
    <mergeCell ref="AG3:AH3"/>
    <mergeCell ref="AI3:AJ3"/>
  </mergeCells>
  <conditionalFormatting sqref="AU5:AU10">
    <cfRule type="cellIs" dxfId="268" priority="14" operator="equal">
      <formula>1</formula>
    </cfRule>
    <cfRule type="cellIs" dxfId="267" priority="15" operator="equal">
      <formula>2</formula>
    </cfRule>
    <cfRule type="cellIs" dxfId="266" priority="16" operator="equal">
      <formula>3</formula>
    </cfRule>
    <cfRule type="cellIs" dxfId="265" priority="17" operator="greaterThan">
      <formula>3.5</formula>
    </cfRule>
  </conditionalFormatting>
  <conditionalFormatting sqref="AV5:BE8">
    <cfRule type="cellIs" dxfId="264" priority="6" operator="equal">
      <formula>1</formula>
    </cfRule>
    <cfRule type="cellIs" dxfId="263" priority="7" operator="equal">
      <formula>2</formula>
    </cfRule>
    <cfRule type="cellIs" dxfId="262" priority="8" operator="equal">
      <formula>3</formula>
    </cfRule>
    <cfRule type="cellIs" dxfId="261" priority="9" operator="greaterThan">
      <formula>3.5</formula>
    </cfRule>
  </conditionalFormatting>
  <conditionalFormatting sqref="BG5:BG20">
    <cfRule type="cellIs" dxfId="260" priority="1" operator="lessThan">
      <formula>0.3</formula>
    </cfRule>
    <cfRule type="cellIs" dxfId="259" priority="2" operator="between">
      <formula>0.3</formula>
      <formula>0.5</formula>
    </cfRule>
    <cfRule type="cellIs" dxfId="258" priority="3" operator="between">
      <formula>0.5</formula>
      <formula>0.6</formula>
    </cfRule>
    <cfRule type="cellIs" dxfId="257" priority="4" operator="greaterThan">
      <formula>0.6</formula>
    </cfRule>
    <cfRule type="cellIs" dxfId="256" priority="5" operator="lessThan">
      <formula>0.5</formula>
    </cfRule>
  </conditionalFormatting>
  <dataValidations count="5">
    <dataValidation type="list" allowBlank="1" showInputMessage="1" showErrorMessage="1" sqref="Y4:AC4" xr:uid="{AA1C6B14-291B-4CEF-AB80-ED2FEBD62FFA}">
      <formula1>$I$4:$I$16</formula1>
    </dataValidation>
    <dataValidation type="list" allowBlank="1" showInputMessage="1" showErrorMessage="1" sqref="R5:R14 R19:R20" xr:uid="{A841B988-9255-4940-8D47-0DB34E795248}">
      <formula1>$J$88:$J$91</formula1>
    </dataValidation>
    <dataValidation type="list" allowBlank="1" showInputMessage="1" showErrorMessage="1" sqref="M17:M18" xr:uid="{24B6F3DD-D50A-402F-837A-929A1D31FF34}">
      <formula1>$J$39:$J$45</formula1>
    </dataValidation>
    <dataValidation type="list" allowBlank="1" showInputMessage="1" showErrorMessage="1" sqref="F5:F14 F19:F20" xr:uid="{47C950B0-5B19-4EFF-AD0F-D0DE6915D625}">
      <formula1>$H$4:$H$21</formula1>
    </dataValidation>
    <dataValidation type="list" allowBlank="1" showInputMessage="1" showErrorMessage="1" sqref="D14:D15" xr:uid="{6374F8AD-0D68-4E92-BDAC-D5EA1DD5AAAC}">
      <formula1>$D$4:$D$19</formula1>
    </dataValidation>
  </dataValidations>
  <pageMargins left="0.7" right="0.7" top="0.75" bottom="0.75" header="0.3" footer="0.3"/>
  <headerFooter>
    <oddFooter>&amp;C_x000D_&amp;1#&amp;"Calibri"&amp;8&amp;K000000 INTERNAL. This information is accessible to ADB Management and staff. It may be shared outside ADB with appropriate permission.</oddFooter>
  </headerFooter>
  <extLst>
    <ext xmlns:x14="http://schemas.microsoft.com/office/spreadsheetml/2009/9/main" uri="{CCE6A557-97BC-4b89-ADB6-D9C93CAAB3DF}">
      <x14:dataValidations xmlns:xm="http://schemas.microsoft.com/office/excel/2006/main" count="20">
        <x14:dataValidation type="list" allowBlank="1" showInputMessage="1" showErrorMessage="1" xr:uid="{2FC2F8C6-822F-41A8-A774-3A8A0C8B6651}">
          <x14:formula1>
            <xm:f>'Condition rating weights'!$C$29:$C$34</xm:f>
          </x14:formula1>
          <xm:sqref>AU5:BF20</xm:sqref>
        </x14:dataValidation>
        <x14:dataValidation type="list" allowBlank="1" showInputMessage="1" showErrorMessage="1" xr:uid="{B2353A41-FBC1-48BA-929B-E90CD1195A3E}">
          <x14:formula1>
            <xm:f>'Inflation Adjustments'!$B$3:$BT$3</xm:f>
          </x14:formula1>
          <xm:sqref>AG5:AG11 AG16 AG19:AG21</xm:sqref>
        </x14:dataValidation>
        <x14:dataValidation type="list" allowBlank="1" showInputMessage="1" showErrorMessage="1" xr:uid="{3F58313C-8CB9-4441-9CCE-A3D117D83400}">
          <x14:formula1>
            <xm:f>'AR-Hierarchy '!$K$4:$K$17</xm:f>
          </x14:formula1>
          <xm:sqref>T5:AC20</xm:sqref>
        </x14:dataValidation>
        <x14:dataValidation type="list" allowBlank="1" showInputMessage="1" showErrorMessage="1" xr:uid="{3CDE0DD6-AFAE-4116-9EAC-0D62B9E58D7E}">
          <x14:formula1>
            <xm:f>'AR-Hierarchy '!$H$4:$H$20</xm:f>
          </x14:formula1>
          <xm:sqref>F16</xm:sqref>
        </x14:dataValidation>
        <x14:dataValidation type="list" allowBlank="1" showInputMessage="1" showErrorMessage="1" xr:uid="{2114AE95-FB52-4937-879A-4288CEDF6002}">
          <x14:formula1>
            <xm:f>'AR-Hierarchy '!$I$4:$I$14</xm:f>
          </x14:formula1>
          <xm:sqref>J4:S4</xm:sqref>
        </x14:dataValidation>
        <x14:dataValidation type="list" allowBlank="1" showInputMessage="1" showErrorMessage="1" xr:uid="{D2605B8F-B500-4752-9575-9939633EFA09}">
          <x14:formula1>
            <xm:f>'AR-Hierarchy '!$J$14:$J$21</xm:f>
          </x14:formula1>
          <xm:sqref>K5:K20</xm:sqref>
        </x14:dataValidation>
        <x14:dataValidation type="list" allowBlank="1" showInputMessage="1" showErrorMessage="1" xr:uid="{8C6835AE-EAB2-4F4F-B2C9-40C1B207E210}">
          <x14:formula1>
            <xm:f>'AR-Hierarchy '!$J$5:$J$12</xm:f>
          </x14:formula1>
          <xm:sqref>J5:J20</xm:sqref>
        </x14:dataValidation>
        <x14:dataValidation type="list" allowBlank="1" showInputMessage="1" showErrorMessage="1" xr:uid="{1B1443DA-6D93-46D1-B52B-8298FACBCB46}">
          <x14:formula1>
            <xm:f>'AR-Hierarchy '!$J$24:$J$32</xm:f>
          </x14:formula1>
          <xm:sqref>L5:L18</xm:sqref>
        </x14:dataValidation>
        <x14:dataValidation type="list" allowBlank="1" showInputMessage="1" showErrorMessage="1" xr:uid="{229F1B94-B076-4683-B88D-570E3F7F27F7}">
          <x14:formula1>
            <xm:f>'AR-Hierarchy '!$J$35:$J$41</xm:f>
          </x14:formula1>
          <xm:sqref>M5:M15</xm:sqref>
        </x14:dataValidation>
        <x14:dataValidation type="list" allowBlank="1" showInputMessage="1" showErrorMessage="1" xr:uid="{EA6AF071-A12F-4F43-87AE-0A941499A81A}">
          <x14:formula1>
            <xm:f>'AR-Hierarchy '!$J$45:$J$51</xm:f>
          </x14:formula1>
          <xm:sqref>N5:N18</xm:sqref>
        </x14:dataValidation>
        <x14:dataValidation type="list" allowBlank="1" showInputMessage="1" showErrorMessage="1" xr:uid="{4955A935-1A24-46DE-A1EE-C75079A40776}">
          <x14:formula1>
            <xm:f>'AR-Hierarchy '!$J$54:$J$60</xm:f>
          </x14:formula1>
          <xm:sqref>O5:O18</xm:sqref>
        </x14:dataValidation>
        <x14:dataValidation type="list" allowBlank="1" showInputMessage="1" showErrorMessage="1" xr:uid="{3F8190F6-EAFD-4447-ABC2-DCC1E7DE62CF}">
          <x14:formula1>
            <xm:f>'AR-Hierarchy '!$J$63:$J$68</xm:f>
          </x14:formula1>
          <xm:sqref>P5:P14</xm:sqref>
        </x14:dataValidation>
        <x14:dataValidation type="list" allowBlank="1" showInputMessage="1" showErrorMessage="1" xr:uid="{36643B3B-B386-47F4-A980-A0C5E7216A48}">
          <x14:formula1>
            <xm:f>'AR-Hierarchy '!$J$72:$J$77</xm:f>
          </x14:formula1>
          <xm:sqref>Q5:Q20</xm:sqref>
        </x14:dataValidation>
        <x14:dataValidation type="list" allowBlank="1" showInputMessage="1" showErrorMessage="1" xr:uid="{71F78DA8-0B5F-45BB-BA4A-1DD3ABA86522}">
          <x14:formula1>
            <xm:f>'AR-Hierarchy '!$J$80:$J$83</xm:f>
          </x14:formula1>
          <xm:sqref>R16</xm:sqref>
        </x14:dataValidation>
        <x14:dataValidation type="list" allowBlank="1" showInputMessage="1" showErrorMessage="1" xr:uid="{F9367336-924F-4EF1-BD13-F17B95180ACF}">
          <x14:formula1>
            <xm:f>'AR-Hierarchy '!$J$86:$J$90</xm:f>
          </x14:formula1>
          <xm:sqref>S5:S14</xm:sqref>
        </x14:dataValidation>
        <x14:dataValidation type="list" allowBlank="1" showInputMessage="1" showErrorMessage="1" xr:uid="{A88AB100-B53D-4F55-988F-813657C0B37B}">
          <x14:formula1>
            <xm:f>'AR-Hierarchy '!#REF!</xm:f>
          </x14:formula1>
          <xm:sqref>E5:E14 D11:D12</xm:sqref>
        </x14:dataValidation>
        <x14:dataValidation type="list" allowBlank="1" showInputMessage="1" showErrorMessage="1" xr:uid="{282D7CE8-5292-4E16-82B2-8DDF191D4CEA}">
          <x14:formula1>
            <xm:f>'AR-Hierarchy '!$D$22:$D$25</xm:f>
          </x14:formula1>
          <xm:sqref>D9:D10</xm:sqref>
        </x14:dataValidation>
        <x14:dataValidation type="list" allowBlank="1" showInputMessage="1" showErrorMessage="1" xr:uid="{0402D457-CE68-44D0-BB7D-D91FE0A0965B}">
          <x14:formula1>
            <xm:f>'AR-Hierarchy '!$D$21:$D$33</xm:f>
          </x14:formula1>
          <xm:sqref>D5:D8</xm:sqref>
        </x14:dataValidation>
        <x14:dataValidation type="list" allowBlank="1" showInputMessage="1" showErrorMessage="1" xr:uid="{1DE9A7DF-276F-45AA-AC14-52FD44986C75}">
          <x14:formula1>
            <xm:f>'AR-Hierarchy '!$D$4:$D$33</xm:f>
          </x14:formula1>
          <xm:sqref>D17:D18</xm:sqref>
        </x14:dataValidation>
        <x14:dataValidation type="list" allowBlank="1" showInputMessage="1" showErrorMessage="1" xr:uid="{5B842E18-641C-4B2A-B54F-CB9D46DF2A47}">
          <x14:formula1>
            <xm:f>'AR-Hierarchy '!$B$4:$B$53</xm:f>
          </x14:formula1>
          <xm:sqref>C5:C14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17633-D2C3-4010-8424-066801F4EB5D}">
  <dimension ref="A1:FB50"/>
  <sheetViews>
    <sheetView topLeftCell="AQ24" workbookViewId="0">
      <selection activeCell="AT50" sqref="AT50"/>
    </sheetView>
  </sheetViews>
  <sheetFormatPr defaultColWidth="8.81640625" defaultRowHeight="14" x14ac:dyDescent="0.3"/>
  <cols>
    <col min="1" max="71" width="35.6328125" style="91" customWidth="1"/>
    <col min="72" max="73" width="35.6328125" style="290" customWidth="1"/>
    <col min="74" max="76" width="8.81640625" style="91"/>
    <col min="77" max="77" width="16.08984375" style="91" customWidth="1"/>
    <col min="78" max="85" width="8.81640625" style="91"/>
    <col min="86" max="86" width="12.08984375" style="91" customWidth="1"/>
    <col min="87" max="87" width="10.90625" style="91" customWidth="1"/>
    <col min="88" max="88" width="11.81640625" style="91" customWidth="1"/>
    <col min="89" max="89" width="11" style="91" customWidth="1"/>
    <col min="90" max="90" width="11.453125" style="91" customWidth="1"/>
    <col min="91" max="91" width="12.54296875" style="91" bestFit="1" customWidth="1"/>
    <col min="92" max="92" width="11.08984375" style="91" bestFit="1" customWidth="1"/>
    <col min="93" max="93" width="8.81640625" style="91"/>
    <col min="94" max="94" width="10.453125" style="91" customWidth="1"/>
    <col min="95" max="95" width="11.08984375" style="91" bestFit="1" customWidth="1"/>
    <col min="96" max="101" width="12.1796875" style="91" customWidth="1"/>
    <col min="102" max="102" width="11.90625" style="91" customWidth="1"/>
    <col min="103" max="103" width="10.6328125" style="91" customWidth="1"/>
    <col min="104" max="104" width="8.81640625" style="91"/>
    <col min="105" max="105" width="10.81640625" style="91" customWidth="1"/>
    <col min="106" max="106" width="8.81640625" style="91"/>
    <col min="107" max="107" width="12" style="91" customWidth="1"/>
    <col min="108" max="108" width="16.36328125" style="91" customWidth="1"/>
    <col min="109" max="109" width="11.1796875" style="91" customWidth="1"/>
    <col min="110" max="113" width="10.6328125" style="91" customWidth="1"/>
    <col min="114" max="114" width="10" style="91" customWidth="1"/>
    <col min="115" max="115" width="10.90625" style="91" customWidth="1"/>
    <col min="116" max="116" width="9.08984375" style="91" bestFit="1" customWidth="1"/>
    <col min="117" max="117" width="10.81640625" style="91" customWidth="1"/>
    <col min="118" max="118" width="8.81640625" style="91"/>
    <col min="119" max="119" width="11.36328125" style="91" customWidth="1"/>
    <col min="120" max="123" width="10.81640625" style="91" customWidth="1"/>
    <col min="124" max="124" width="8.81640625" style="91" bestFit="1" customWidth="1"/>
    <col min="125" max="125" width="9.08984375" style="91" bestFit="1" customWidth="1"/>
    <col min="126" max="127" width="8.81640625" style="91" bestFit="1" customWidth="1"/>
    <col min="128" max="129" width="8.81640625" style="91" customWidth="1"/>
    <col min="130" max="130" width="11.36328125" style="91" customWidth="1"/>
    <col min="131" max="135" width="10.08984375" style="91" customWidth="1"/>
    <col min="136" max="139" width="8.81640625" style="91"/>
    <col min="140" max="140" width="11.08984375" style="91" bestFit="1" customWidth="1"/>
    <col min="141" max="151" width="11.08984375" style="91" customWidth="1"/>
    <col min="152" max="155" width="11.54296875" style="91" customWidth="1"/>
    <col min="156" max="156" width="11.81640625" style="91" customWidth="1"/>
    <col min="157" max="158" width="12.1796875" style="91" customWidth="1"/>
    <col min="159" max="16384" width="8.81640625" style="91"/>
  </cols>
  <sheetData>
    <row r="1" spans="1:158" ht="29.5" customHeight="1" thickTop="1" x14ac:dyDescent="0.3">
      <c r="A1" s="621" t="s">
        <v>32</v>
      </c>
      <c r="B1" s="622"/>
      <c r="C1" s="288">
        <v>2023</v>
      </c>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row>
    <row r="2" spans="1:158" ht="46.5" customHeight="1" thickBot="1" x14ac:dyDescent="0.35">
      <c r="A2" s="623" t="s">
        <v>1403</v>
      </c>
      <c r="B2" s="623"/>
      <c r="C2" s="623"/>
      <c r="D2" s="623"/>
      <c r="E2" s="623"/>
      <c r="F2" s="623"/>
      <c r="G2" s="623"/>
      <c r="H2" s="623"/>
      <c r="I2" s="623"/>
      <c r="J2" s="624" t="s">
        <v>298</v>
      </c>
      <c r="K2" s="585"/>
      <c r="L2" s="585"/>
      <c r="M2" s="585"/>
      <c r="N2" s="585"/>
      <c r="O2" s="585"/>
      <c r="P2" s="585"/>
      <c r="Q2" s="585"/>
      <c r="R2" s="585"/>
      <c r="S2" s="585"/>
      <c r="T2" s="585"/>
      <c r="U2" s="585"/>
      <c r="V2" s="585"/>
      <c r="W2" s="585"/>
      <c r="X2" s="585"/>
      <c r="Y2" s="585"/>
      <c r="Z2" s="585"/>
      <c r="AA2" s="585"/>
      <c r="AB2" s="585"/>
      <c r="AC2" s="585"/>
      <c r="AD2" s="585"/>
      <c r="AE2" s="586"/>
      <c r="AF2" s="592" t="s">
        <v>267</v>
      </c>
      <c r="AG2" s="593"/>
      <c r="AH2" s="593"/>
      <c r="AI2" s="593"/>
      <c r="AJ2" s="593"/>
      <c r="AK2" s="593"/>
      <c r="AL2" s="593"/>
      <c r="AM2" s="593"/>
      <c r="AN2" s="593"/>
      <c r="AO2" s="593"/>
      <c r="AP2" s="593"/>
      <c r="AQ2" s="593"/>
      <c r="AR2" s="594"/>
      <c r="AS2" s="592" t="s">
        <v>268</v>
      </c>
      <c r="AT2" s="593"/>
      <c r="AU2" s="593"/>
      <c r="AV2" s="593"/>
      <c r="AW2" s="593"/>
      <c r="AX2" s="593"/>
      <c r="AY2" s="593"/>
      <c r="AZ2" s="593"/>
      <c r="BA2" s="593"/>
      <c r="BB2" s="593"/>
      <c r="BC2" s="593"/>
      <c r="BD2" s="593"/>
      <c r="BE2" s="593"/>
      <c r="BF2" s="593"/>
      <c r="BG2" s="593"/>
      <c r="BH2" s="597" t="s">
        <v>312</v>
      </c>
      <c r="BI2" s="598"/>
      <c r="BJ2" s="598"/>
      <c r="BK2" s="598"/>
      <c r="BL2" s="598"/>
      <c r="BM2" s="598"/>
      <c r="BN2" s="598"/>
      <c r="BO2" s="598"/>
      <c r="BP2" s="598"/>
      <c r="BQ2" s="598"/>
      <c r="BR2" s="598"/>
      <c r="BS2" s="598"/>
      <c r="BT2" s="599"/>
      <c r="BU2" s="291"/>
      <c r="DO2" s="589" t="s">
        <v>828</v>
      </c>
      <c r="DP2" s="589"/>
      <c r="DQ2" s="589"/>
      <c r="DR2" s="589"/>
      <c r="DS2" s="589"/>
      <c r="DT2" s="589"/>
      <c r="DU2" s="589"/>
      <c r="DV2" s="589"/>
      <c r="DW2" s="589"/>
      <c r="DX2" s="589"/>
      <c r="DY2" s="589"/>
      <c r="DZ2" s="589"/>
      <c r="EA2" s="589"/>
      <c r="EB2" s="589"/>
      <c r="EC2" s="589"/>
      <c r="ED2" s="589"/>
      <c r="EE2" s="589"/>
      <c r="EF2" s="589"/>
      <c r="EG2" s="589"/>
      <c r="EH2" s="589"/>
      <c r="EI2" s="589"/>
      <c r="EJ2" s="589"/>
      <c r="EK2" s="93"/>
      <c r="EL2" s="93"/>
      <c r="EM2" s="93"/>
      <c r="EN2" s="93"/>
      <c r="EO2" s="93"/>
      <c r="EP2" s="93"/>
      <c r="EQ2" s="93"/>
      <c r="ER2" s="93"/>
      <c r="ES2" s="93"/>
      <c r="ET2" s="93"/>
      <c r="EU2" s="93"/>
      <c r="EV2" s="590" t="s">
        <v>829</v>
      </c>
      <c r="EW2" s="590"/>
      <c r="EX2" s="590"/>
      <c r="EY2" s="590"/>
      <c r="EZ2" s="590"/>
      <c r="FA2" s="590"/>
      <c r="FB2" s="590"/>
    </row>
    <row r="3" spans="1:158" ht="14.5" thickTop="1" x14ac:dyDescent="0.3">
      <c r="A3" s="293" t="s">
        <v>0</v>
      </c>
      <c r="B3" s="294" t="s">
        <v>34</v>
      </c>
      <c r="C3" s="294" t="s">
        <v>250</v>
      </c>
      <c r="D3" s="294" t="s">
        <v>251</v>
      </c>
      <c r="E3" s="294" t="s">
        <v>1</v>
      </c>
      <c r="F3" s="294" t="s">
        <v>2</v>
      </c>
      <c r="G3" s="294" t="s">
        <v>252</v>
      </c>
      <c r="H3" s="294" t="s">
        <v>30</v>
      </c>
      <c r="I3" s="294" t="s">
        <v>31</v>
      </c>
      <c r="J3" s="616" t="s">
        <v>253</v>
      </c>
      <c r="K3" s="625"/>
      <c r="L3" s="625"/>
      <c r="M3" s="625"/>
      <c r="N3" s="625"/>
      <c r="O3" s="625"/>
      <c r="P3" s="625"/>
      <c r="Q3" s="625"/>
      <c r="R3" s="625"/>
      <c r="S3" s="626"/>
      <c r="T3" s="616" t="s">
        <v>254</v>
      </c>
      <c r="U3" s="625"/>
      <c r="V3" s="625"/>
      <c r="W3" s="625"/>
      <c r="X3" s="625"/>
      <c r="Y3" s="625"/>
      <c r="Z3" s="625"/>
      <c r="AA3" s="625"/>
      <c r="AB3" s="625"/>
      <c r="AC3" s="626"/>
      <c r="AD3" s="616" t="s">
        <v>255</v>
      </c>
      <c r="AE3" s="626"/>
      <c r="AF3" s="294" t="s">
        <v>259</v>
      </c>
      <c r="AG3" s="603" t="s">
        <v>38</v>
      </c>
      <c r="AH3" s="604"/>
      <c r="AI3" s="603" t="s">
        <v>261</v>
      </c>
      <c r="AJ3" s="591"/>
      <c r="AK3" s="296"/>
      <c r="AL3" s="296"/>
      <c r="AM3" s="591" t="s">
        <v>262</v>
      </c>
      <c r="AN3" s="591"/>
      <c r="AO3" s="591" t="s">
        <v>263</v>
      </c>
      <c r="AP3" s="591" t="s">
        <v>326</v>
      </c>
      <c r="AQ3" s="604" t="s">
        <v>33</v>
      </c>
      <c r="AR3" s="609" t="s">
        <v>264</v>
      </c>
      <c r="AS3" s="609" t="s">
        <v>265</v>
      </c>
      <c r="AT3" s="609" t="s">
        <v>266</v>
      </c>
      <c r="AU3" s="603" t="s">
        <v>53</v>
      </c>
      <c r="AV3" s="591"/>
      <c r="AW3" s="591"/>
      <c r="AX3" s="591"/>
      <c r="AY3" s="591"/>
      <c r="AZ3" s="591"/>
      <c r="BA3" s="591"/>
      <c r="BB3" s="591"/>
      <c r="BC3" s="591"/>
      <c r="BD3" s="604"/>
      <c r="BE3" s="609" t="s">
        <v>1581</v>
      </c>
      <c r="BF3" s="609"/>
      <c r="BG3" s="295" t="s">
        <v>1442</v>
      </c>
      <c r="BH3" s="605" t="s">
        <v>299</v>
      </c>
      <c r="BI3" s="605" t="s">
        <v>300</v>
      </c>
      <c r="BJ3" s="605" t="s">
        <v>301</v>
      </c>
      <c r="BK3" s="605" t="s">
        <v>302</v>
      </c>
      <c r="BL3" s="605" t="s">
        <v>303</v>
      </c>
      <c r="BM3" s="605" t="s">
        <v>304</v>
      </c>
      <c r="BN3" s="605" t="s">
        <v>305</v>
      </c>
      <c r="BO3" s="605" t="s">
        <v>306</v>
      </c>
      <c r="BP3" s="605" t="s">
        <v>307</v>
      </c>
      <c r="BQ3" s="605" t="s">
        <v>308</v>
      </c>
      <c r="BR3" s="605" t="s">
        <v>309</v>
      </c>
      <c r="BS3" s="605" t="s">
        <v>310</v>
      </c>
      <c r="BT3" s="616" t="s">
        <v>311</v>
      </c>
      <c r="BU3" s="617" t="s">
        <v>1433</v>
      </c>
      <c r="CA3" s="299" t="s">
        <v>809</v>
      </c>
      <c r="CH3" s="590" t="s">
        <v>816</v>
      </c>
      <c r="CI3" s="590"/>
      <c r="CJ3" s="590"/>
      <c r="CK3" s="590"/>
      <c r="CL3" s="590"/>
      <c r="CM3" s="590"/>
      <c r="CN3" s="590"/>
      <c r="CO3" s="590"/>
      <c r="CP3" s="590"/>
      <c r="CQ3" s="590"/>
      <c r="CR3" s="590"/>
      <c r="CS3" s="620" t="s">
        <v>262</v>
      </c>
      <c r="CT3" s="620"/>
      <c r="CU3" s="620"/>
      <c r="CV3" s="620"/>
      <c r="CW3" s="620"/>
      <c r="CX3" s="620"/>
      <c r="CY3" s="620"/>
      <c r="CZ3" s="620"/>
      <c r="DA3" s="620"/>
      <c r="DB3" s="620"/>
      <c r="DC3" s="620"/>
      <c r="DD3" s="292"/>
      <c r="DE3" s="590" t="s">
        <v>825</v>
      </c>
      <c r="DF3" s="590"/>
      <c r="DG3" s="590"/>
      <c r="DH3" s="590"/>
      <c r="DI3" s="590"/>
      <c r="DJ3" s="590"/>
      <c r="DK3" s="590"/>
      <c r="DL3" s="590"/>
      <c r="DM3" s="590"/>
      <c r="DN3" s="590"/>
      <c r="DO3" s="620" t="s">
        <v>827</v>
      </c>
      <c r="DP3" s="620"/>
      <c r="DQ3" s="620"/>
      <c r="DR3" s="620"/>
      <c r="DS3" s="620"/>
      <c r="DT3" s="620"/>
      <c r="DU3" s="620"/>
      <c r="DV3" s="620"/>
      <c r="DW3" s="620"/>
      <c r="DX3" s="620"/>
      <c r="DY3" s="620"/>
      <c r="DZ3" s="590" t="s">
        <v>826</v>
      </c>
      <c r="EA3" s="590"/>
      <c r="EB3" s="590"/>
      <c r="EC3" s="590"/>
      <c r="ED3" s="590"/>
      <c r="EE3" s="590"/>
      <c r="EF3" s="590"/>
      <c r="EG3" s="590"/>
      <c r="EH3" s="590"/>
      <c r="EI3" s="590"/>
      <c r="EJ3" s="590"/>
      <c r="EK3" s="620" t="s">
        <v>833</v>
      </c>
      <c r="EL3" s="620"/>
      <c r="EM3" s="620"/>
      <c r="EN3" s="620"/>
      <c r="EO3" s="620"/>
      <c r="EP3" s="620"/>
      <c r="EQ3" s="620"/>
      <c r="ER3" s="620"/>
      <c r="ES3" s="620"/>
      <c r="ET3" s="620"/>
      <c r="EU3" s="620"/>
      <c r="EV3" s="619" t="s">
        <v>1026</v>
      </c>
      <c r="EW3" s="619" t="s">
        <v>1022</v>
      </c>
      <c r="EX3" s="619" t="s">
        <v>1023</v>
      </c>
      <c r="EY3" s="619" t="s">
        <v>1027</v>
      </c>
      <c r="EZ3" s="619" t="s">
        <v>1024</v>
      </c>
      <c r="FA3" s="619" t="s">
        <v>1025</v>
      </c>
      <c r="FB3" s="619" t="s">
        <v>33</v>
      </c>
    </row>
    <row r="4" spans="1:158" ht="57.5" customHeight="1" thickBot="1" x14ac:dyDescent="0.35">
      <c r="A4" s="300"/>
      <c r="B4" s="301"/>
      <c r="C4" s="302"/>
      <c r="D4" s="302"/>
      <c r="E4" s="302"/>
      <c r="F4" s="302"/>
      <c r="G4" s="302"/>
      <c r="H4" s="302"/>
      <c r="I4" s="302"/>
      <c r="J4" s="302" t="s">
        <v>105</v>
      </c>
      <c r="K4" s="302" t="s">
        <v>106</v>
      </c>
      <c r="L4" s="302" t="s">
        <v>107</v>
      </c>
      <c r="M4" s="302" t="s">
        <v>108</v>
      </c>
      <c r="N4" s="302" t="s">
        <v>109</v>
      </c>
      <c r="O4" s="302" t="s">
        <v>120</v>
      </c>
      <c r="P4" s="302" t="s">
        <v>111</v>
      </c>
      <c r="Q4" s="302" t="s">
        <v>112</v>
      </c>
      <c r="R4" s="302" t="s">
        <v>113</v>
      </c>
      <c r="S4" s="302" t="s">
        <v>110</v>
      </c>
      <c r="T4" s="302" t="s">
        <v>935</v>
      </c>
      <c r="U4" s="302" t="s">
        <v>936</v>
      </c>
      <c r="V4" s="302" t="s">
        <v>937</v>
      </c>
      <c r="W4" s="302" t="s">
        <v>938</v>
      </c>
      <c r="X4" s="302" t="s">
        <v>939</v>
      </c>
      <c r="Y4" s="302" t="s">
        <v>120</v>
      </c>
      <c r="Z4" s="302" t="s">
        <v>111</v>
      </c>
      <c r="AA4" s="302" t="s">
        <v>112</v>
      </c>
      <c r="AB4" s="302" t="s">
        <v>113</v>
      </c>
      <c r="AC4" s="302" t="s">
        <v>110</v>
      </c>
      <c r="AD4" s="302" t="s">
        <v>256</v>
      </c>
      <c r="AE4" s="302" t="s">
        <v>257</v>
      </c>
      <c r="AF4" s="302"/>
      <c r="AG4" s="302" t="s">
        <v>38</v>
      </c>
      <c r="AH4" s="302" t="s">
        <v>260</v>
      </c>
      <c r="AI4" s="302" t="s">
        <v>261</v>
      </c>
      <c r="AJ4" s="302" t="s">
        <v>260</v>
      </c>
      <c r="AK4" s="302" t="s">
        <v>715</v>
      </c>
      <c r="AL4" s="302" t="s">
        <v>716</v>
      </c>
      <c r="AM4" s="302" t="s">
        <v>262</v>
      </c>
      <c r="AN4" s="302" t="s">
        <v>260</v>
      </c>
      <c r="AO4" s="607"/>
      <c r="AP4" s="607"/>
      <c r="AQ4" s="608"/>
      <c r="AR4" s="610"/>
      <c r="AS4" s="610"/>
      <c r="AT4" s="610"/>
      <c r="AU4" s="302" t="s">
        <v>164</v>
      </c>
      <c r="AV4" s="302" t="s">
        <v>36</v>
      </c>
      <c r="AW4" s="302" t="s">
        <v>5</v>
      </c>
      <c r="AX4" s="302" t="s">
        <v>3</v>
      </c>
      <c r="AY4" s="302" t="s">
        <v>165</v>
      </c>
      <c r="AZ4" s="302" t="s">
        <v>166</v>
      </c>
      <c r="BA4" s="302" t="s">
        <v>1630</v>
      </c>
      <c r="BB4" s="302"/>
      <c r="BC4" s="302"/>
      <c r="BD4" s="302"/>
      <c r="BE4" s="610"/>
      <c r="BF4" s="610"/>
      <c r="BG4" s="345" t="s">
        <v>37</v>
      </c>
      <c r="BH4" s="606"/>
      <c r="BI4" s="606"/>
      <c r="BJ4" s="606"/>
      <c r="BK4" s="606"/>
      <c r="BL4" s="606"/>
      <c r="BM4" s="606"/>
      <c r="BN4" s="606"/>
      <c r="BO4" s="606"/>
      <c r="BP4" s="606"/>
      <c r="BQ4" s="606"/>
      <c r="BR4" s="606"/>
      <c r="BS4" s="606"/>
      <c r="BT4" s="592"/>
      <c r="BU4" s="627"/>
      <c r="BY4" s="305"/>
      <c r="BZ4" s="306" t="str">
        <f>'AR-Hierarchy '!K4</f>
        <v>Basic Design</v>
      </c>
      <c r="CA4" s="306" t="str">
        <f>'AR-Hierarchy '!K5</f>
        <v>Standard Design</v>
      </c>
      <c r="CB4" s="306" t="str">
        <f>'AR-Hierarchy '!K6</f>
        <v xml:space="preserve">Superior Design </v>
      </c>
      <c r="CC4" s="306" t="str">
        <f>'AR-Hierarchy '!K7</f>
        <v>None</v>
      </c>
      <c r="CD4" s="306" t="str">
        <f>BZ4</f>
        <v>Basic Design</v>
      </c>
      <c r="CE4" s="306" t="str">
        <f>CA4</f>
        <v>Standard Design</v>
      </c>
      <c r="CF4" s="306" t="str">
        <f>CB4</f>
        <v xml:space="preserve">Superior Design </v>
      </c>
      <c r="CG4" s="305" t="s">
        <v>117</v>
      </c>
      <c r="CH4" s="307" t="str">
        <f>BY5</f>
        <v>Substructure</v>
      </c>
      <c r="CI4" s="308" t="str">
        <f>BY6</f>
        <v>Structure</v>
      </c>
      <c r="CJ4" s="308" t="str">
        <f>BY7</f>
        <v>Roofing</v>
      </c>
      <c r="CK4" s="307" t="str">
        <f>BY8</f>
        <v>Exterior Wall Cladding</v>
      </c>
      <c r="CL4" s="308" t="str">
        <f>BY9</f>
        <v>Fitouts</v>
      </c>
      <c r="CM4" s="309" t="str">
        <f>BY10</f>
        <v>Floor Covering</v>
      </c>
      <c r="CN4" s="310" t="str">
        <f>BY11</f>
        <v>Service Mechanical</v>
      </c>
      <c r="CO4" s="310" t="str">
        <f>BY12</f>
        <v>Services Electrical</v>
      </c>
      <c r="CP4" s="310" t="str">
        <f>BY13</f>
        <v>Services Sanitation</v>
      </c>
      <c r="CQ4" s="310" t="str">
        <f>BY14</f>
        <v>Services Water</v>
      </c>
      <c r="CR4" s="310" t="s">
        <v>823</v>
      </c>
      <c r="CS4" s="306" t="str">
        <f>CH4</f>
        <v>Substructure</v>
      </c>
      <c r="CT4" s="306" t="str">
        <f t="shared" ref="CT4:DB4" si="0">CI4</f>
        <v>Structure</v>
      </c>
      <c r="CU4" s="306" t="str">
        <f t="shared" si="0"/>
        <v>Roofing</v>
      </c>
      <c r="CV4" s="306" t="str">
        <f t="shared" si="0"/>
        <v>Exterior Wall Cladding</v>
      </c>
      <c r="CW4" s="306" t="str">
        <f t="shared" si="0"/>
        <v>Fitouts</v>
      </c>
      <c r="CX4" s="306" t="str">
        <f t="shared" si="0"/>
        <v>Floor Covering</v>
      </c>
      <c r="CY4" s="306" t="str">
        <f t="shared" si="0"/>
        <v>Service Mechanical</v>
      </c>
      <c r="CZ4" s="306" t="str">
        <f t="shared" si="0"/>
        <v>Services Electrical</v>
      </c>
      <c r="DA4" s="306" t="str">
        <f t="shared" si="0"/>
        <v>Services Sanitation</v>
      </c>
      <c r="DB4" s="306" t="str">
        <f t="shared" si="0"/>
        <v>Services Water</v>
      </c>
      <c r="DC4" s="306" t="s">
        <v>824</v>
      </c>
      <c r="DD4" s="307" t="s">
        <v>1028</v>
      </c>
      <c r="DE4" s="307" t="str">
        <f>CS4</f>
        <v>Substructure</v>
      </c>
      <c r="DF4" s="307" t="str">
        <f t="shared" ref="DF4:DN4" si="1">CT4</f>
        <v>Structure</v>
      </c>
      <c r="DG4" s="307" t="str">
        <f t="shared" si="1"/>
        <v>Roofing</v>
      </c>
      <c r="DH4" s="307" t="str">
        <f t="shared" si="1"/>
        <v>Exterior Wall Cladding</v>
      </c>
      <c r="DI4" s="307" t="str">
        <f t="shared" si="1"/>
        <v>Fitouts</v>
      </c>
      <c r="DJ4" s="307" t="str">
        <f t="shared" si="1"/>
        <v>Floor Covering</v>
      </c>
      <c r="DK4" s="307" t="str">
        <f t="shared" si="1"/>
        <v>Service Mechanical</v>
      </c>
      <c r="DL4" s="307" t="str">
        <f t="shared" si="1"/>
        <v>Services Electrical</v>
      </c>
      <c r="DM4" s="307" t="str">
        <f t="shared" si="1"/>
        <v>Services Sanitation</v>
      </c>
      <c r="DN4" s="307" t="str">
        <f t="shared" si="1"/>
        <v>Services Water</v>
      </c>
      <c r="DO4" s="311" t="str">
        <f>DE4</f>
        <v>Substructure</v>
      </c>
      <c r="DP4" s="311" t="str">
        <f t="shared" ref="DP4:DX4" si="2">DF4</f>
        <v>Structure</v>
      </c>
      <c r="DQ4" s="311" t="str">
        <f t="shared" si="2"/>
        <v>Roofing</v>
      </c>
      <c r="DR4" s="311" t="str">
        <f t="shared" si="2"/>
        <v>Exterior Wall Cladding</v>
      </c>
      <c r="DS4" s="311" t="str">
        <f t="shared" si="2"/>
        <v>Fitouts</v>
      </c>
      <c r="DT4" s="311" t="str">
        <f t="shared" si="2"/>
        <v>Floor Covering</v>
      </c>
      <c r="DU4" s="311" t="str">
        <f t="shared" si="2"/>
        <v>Service Mechanical</v>
      </c>
      <c r="DV4" s="311" t="str">
        <f t="shared" si="2"/>
        <v>Services Electrical</v>
      </c>
      <c r="DW4" s="311" t="str">
        <f t="shared" si="2"/>
        <v>Services Sanitation</v>
      </c>
      <c r="DX4" s="311" t="str">
        <f t="shared" si="2"/>
        <v>Services Water</v>
      </c>
      <c r="DY4" s="311" t="s">
        <v>1021</v>
      </c>
      <c r="DZ4" s="310" t="str">
        <f>DO4</f>
        <v>Substructure</v>
      </c>
      <c r="EA4" s="310" t="str">
        <f t="shared" ref="EA4:EI4" si="3">DP4</f>
        <v>Structure</v>
      </c>
      <c r="EB4" s="310" t="str">
        <f t="shared" si="3"/>
        <v>Roofing</v>
      </c>
      <c r="EC4" s="310" t="str">
        <f t="shared" si="3"/>
        <v>Exterior Wall Cladding</v>
      </c>
      <c r="ED4" s="310" t="str">
        <f t="shared" si="3"/>
        <v>Fitouts</v>
      </c>
      <c r="EE4" s="310" t="str">
        <f t="shared" si="3"/>
        <v>Floor Covering</v>
      </c>
      <c r="EF4" s="310" t="str">
        <f t="shared" si="3"/>
        <v>Service Mechanical</v>
      </c>
      <c r="EG4" s="310" t="str">
        <f t="shared" si="3"/>
        <v>Services Electrical</v>
      </c>
      <c r="EH4" s="310" t="str">
        <f t="shared" si="3"/>
        <v>Services Sanitation</v>
      </c>
      <c r="EI4" s="310" t="str">
        <f t="shared" si="3"/>
        <v>Services Water</v>
      </c>
      <c r="EJ4" s="310" t="s">
        <v>1021</v>
      </c>
      <c r="EK4" s="311" t="str">
        <f>DZ4</f>
        <v>Substructure</v>
      </c>
      <c r="EL4" s="311" t="str">
        <f t="shared" ref="EL4:ET4" si="4">EA4</f>
        <v>Structure</v>
      </c>
      <c r="EM4" s="311" t="str">
        <f t="shared" si="4"/>
        <v>Roofing</v>
      </c>
      <c r="EN4" s="311" t="str">
        <f t="shared" si="4"/>
        <v>Exterior Wall Cladding</v>
      </c>
      <c r="EO4" s="311" t="str">
        <f t="shared" si="4"/>
        <v>Fitouts</v>
      </c>
      <c r="EP4" s="311" t="str">
        <f t="shared" si="4"/>
        <v>Floor Covering</v>
      </c>
      <c r="EQ4" s="311" t="str">
        <f t="shared" si="4"/>
        <v>Service Mechanical</v>
      </c>
      <c r="ER4" s="311" t="str">
        <f t="shared" si="4"/>
        <v>Services Electrical</v>
      </c>
      <c r="ES4" s="311" t="str">
        <f t="shared" si="4"/>
        <v>Services Sanitation</v>
      </c>
      <c r="ET4" s="311" t="str">
        <f t="shared" si="4"/>
        <v>Services Water</v>
      </c>
      <c r="EU4" s="311" t="s">
        <v>52</v>
      </c>
      <c r="EV4" s="619"/>
      <c r="EW4" s="619"/>
      <c r="EX4" s="619"/>
      <c r="EY4" s="619"/>
      <c r="EZ4" s="619"/>
      <c r="FA4" s="619"/>
      <c r="FB4" s="619"/>
    </row>
    <row r="5" spans="1:158" ht="35" customHeight="1" thickTop="1" x14ac:dyDescent="0.3">
      <c r="A5" s="312" t="s">
        <v>1714</v>
      </c>
      <c r="B5" s="313" t="s">
        <v>1385</v>
      </c>
      <c r="C5" s="313" t="s">
        <v>65</v>
      </c>
      <c r="D5" s="314" t="s">
        <v>98</v>
      </c>
      <c r="E5" s="313" t="s">
        <v>8</v>
      </c>
      <c r="F5" s="313" t="s">
        <v>274</v>
      </c>
      <c r="G5" s="313" t="s">
        <v>724</v>
      </c>
      <c r="H5" s="313" t="s">
        <v>1150</v>
      </c>
      <c r="I5" s="313" t="s">
        <v>1151</v>
      </c>
      <c r="J5" s="313" t="s">
        <v>1045</v>
      </c>
      <c r="K5" s="313" t="s">
        <v>1047</v>
      </c>
      <c r="L5" s="313" t="s">
        <v>1055</v>
      </c>
      <c r="M5" s="313" t="s">
        <v>1061</v>
      </c>
      <c r="N5" s="313" t="s">
        <v>117</v>
      </c>
      <c r="O5" s="313" t="s">
        <v>117</v>
      </c>
      <c r="P5" s="313" t="s">
        <v>117</v>
      </c>
      <c r="Q5" s="313" t="s">
        <v>1080</v>
      </c>
      <c r="R5" s="313" t="s">
        <v>571</v>
      </c>
      <c r="S5" s="314" t="s">
        <v>571</v>
      </c>
      <c r="T5" s="314" t="s">
        <v>102</v>
      </c>
      <c r="U5" s="314" t="s">
        <v>102</v>
      </c>
      <c r="V5" s="314" t="s">
        <v>102</v>
      </c>
      <c r="W5" s="314" t="s">
        <v>117</v>
      </c>
      <c r="X5" s="314" t="s">
        <v>117</v>
      </c>
      <c r="Y5" s="314" t="s">
        <v>117</v>
      </c>
      <c r="Z5" s="314" t="s">
        <v>117</v>
      </c>
      <c r="AA5" s="314" t="s">
        <v>117</v>
      </c>
      <c r="AB5" s="314" t="s">
        <v>117</v>
      </c>
      <c r="AC5" s="314" t="s">
        <v>117</v>
      </c>
      <c r="AD5" s="313" t="s">
        <v>1771</v>
      </c>
      <c r="AE5" s="313">
        <v>45</v>
      </c>
      <c r="AF5" s="318">
        <f>DE5</f>
        <v>40</v>
      </c>
      <c r="AG5" s="314">
        <v>2014</v>
      </c>
      <c r="AH5" s="313" t="s">
        <v>800</v>
      </c>
      <c r="AI5" s="313">
        <v>2014</v>
      </c>
      <c r="AJ5" s="313" t="str">
        <f>AH5</f>
        <v>Estimated</v>
      </c>
      <c r="AK5" s="313"/>
      <c r="AL5" s="313"/>
      <c r="AM5" s="315">
        <f>DC5+EW5</f>
        <v>26544.464501644157</v>
      </c>
      <c r="AN5" s="315" t="s">
        <v>800</v>
      </c>
      <c r="AO5" s="509">
        <f>EJ5+FA5</f>
        <v>7432.4500604603636</v>
      </c>
      <c r="AP5" s="509">
        <f>AM5-AO5</f>
        <v>19112.014441183794</v>
      </c>
      <c r="AQ5" s="509">
        <f>EU5+FB5</f>
        <v>929.05625755754545</v>
      </c>
      <c r="AR5" s="509">
        <f>AP5-AQ5</f>
        <v>18182.958183626248</v>
      </c>
      <c r="AS5" s="510">
        <f>HLOOKUP($C$1,'Inflation Adjustments'!$BI$3:$BT$4,2)*CR5</f>
        <v>50381.050781249993</v>
      </c>
      <c r="AT5" s="511">
        <f>IF(BU5="In Service",'Maintenace Cost Assumptions'!$B$3*AS5,0)</f>
        <v>251.90525390624998</v>
      </c>
      <c r="AU5" s="318">
        <v>4</v>
      </c>
      <c r="AV5" s="318">
        <v>4</v>
      </c>
      <c r="AW5" s="318">
        <v>4</v>
      </c>
      <c r="AX5" s="318">
        <v>4</v>
      </c>
      <c r="AY5" s="318">
        <v>3</v>
      </c>
      <c r="AZ5" s="318">
        <v>3</v>
      </c>
      <c r="BA5" s="318">
        <v>3</v>
      </c>
      <c r="BB5" s="313"/>
      <c r="BC5" s="313"/>
      <c r="BD5" s="313"/>
      <c r="BE5" s="318">
        <v>2</v>
      </c>
      <c r="BF5" s="313"/>
      <c r="BG5" s="319">
        <f>(AU5*'Condition rating weights'!H$8+AV5*'Condition rating weights'!I$8+AW5*'Condition rating weights'!J$8+AX5*'Condition rating weights'!K$8+AY5*'Condition rating weights'!L$8+AZ5*'Condition rating weights'!M$8+BA5*'Condition rating weights'!N$8+BB5*'Condition rating weights'!O$8+BC5*'Condition rating weights'!P$8+BD5*'Condition rating weights'!Q$8+BE5*'Condition rating weights'!R$8+BF5*'Condition rating weights'!S$8)/100</f>
        <v>0.64</v>
      </c>
      <c r="BH5" s="320">
        <v>1</v>
      </c>
      <c r="BI5" s="320">
        <v>111</v>
      </c>
      <c r="BJ5" s="320" t="s">
        <v>12</v>
      </c>
      <c r="BK5" s="320" t="s">
        <v>959</v>
      </c>
      <c r="BL5" s="320" t="s">
        <v>960</v>
      </c>
      <c r="BM5" s="320" t="s">
        <v>961</v>
      </c>
      <c r="BN5" s="320" t="s">
        <v>117</v>
      </c>
      <c r="BO5" s="320" t="s">
        <v>962</v>
      </c>
      <c r="BP5" s="320" t="s">
        <v>962</v>
      </c>
      <c r="BQ5" s="320" t="s">
        <v>963</v>
      </c>
      <c r="BR5" s="320" t="s">
        <v>964</v>
      </c>
      <c r="BS5" s="320" t="s">
        <v>964</v>
      </c>
      <c r="BT5" s="321" t="s">
        <v>965</v>
      </c>
      <c r="BU5" s="335" t="s">
        <v>1430</v>
      </c>
      <c r="BV5" s="346"/>
      <c r="BY5" s="306" t="str">
        <f>'GRC and TUL Assumptions'!A5</f>
        <v>Substructure</v>
      </c>
      <c r="BZ5" s="305">
        <f>'GRC and TUL Assumptions'!C5</f>
        <v>150</v>
      </c>
      <c r="CA5" s="305">
        <f>'GRC and TUL Assumptions'!D5</f>
        <v>200</v>
      </c>
      <c r="CB5" s="305">
        <f>'GRC and TUL Assumptions'!E5</f>
        <v>300</v>
      </c>
      <c r="CC5" s="305">
        <v>0</v>
      </c>
      <c r="CD5" s="305">
        <f>'GRC and TUL Assumptions'!F5</f>
        <v>40</v>
      </c>
      <c r="CE5" s="305">
        <f>'GRC and TUL Assumptions'!G5</f>
        <v>60</v>
      </c>
      <c r="CF5" s="305">
        <f>'GRC and TUL Assumptions'!H5</f>
        <v>60</v>
      </c>
      <c r="CG5" s="305">
        <f>CD5</f>
        <v>40</v>
      </c>
      <c r="CH5" s="323">
        <f t="shared" ref="CH5:CH18" si="5">(HLOOKUP(T5,$BZ$4:$CC$14,2,TRUE))*$AE5</f>
        <v>6750</v>
      </c>
      <c r="CI5" s="323">
        <f t="shared" ref="CI5:CI18" si="6">(HLOOKUP(U5,$BZ$4:$CD$14,3,TRUE))*$AE5</f>
        <v>22500</v>
      </c>
      <c r="CJ5" s="323">
        <f>(HLOOKUP(V5,$BZ$4:$CD$14,4,TRUE))*$AE5</f>
        <v>4500</v>
      </c>
      <c r="CK5" s="323">
        <f t="shared" ref="CK5:CK18" si="7">(HLOOKUP(W5,$BZ$4:$CD$14,5,FALSE))*$AE5</f>
        <v>0</v>
      </c>
      <c r="CL5" s="323">
        <f t="shared" ref="CL5:CL18" si="8">(HLOOKUP(X5,$BZ$4:$CD$14,6,FALSE))*$AE5</f>
        <v>0</v>
      </c>
      <c r="CM5" s="323">
        <f t="shared" ref="CM5:CM18" si="9">(HLOOKUP(Y5,$BZ$4:$CD$14,7,FALSE))*$AE5</f>
        <v>0</v>
      </c>
      <c r="CN5" s="323">
        <f t="shared" ref="CN5:CN18" si="10">(HLOOKUP(Z5,$BZ$4:$CD$14,8,FALSE))*$AE5</f>
        <v>0</v>
      </c>
      <c r="CO5" s="323">
        <f t="shared" ref="CO5:CO18" si="11">(HLOOKUP(AA5,$BZ$4:$CD$14,9,FALSE))*$AE5</f>
        <v>0</v>
      </c>
      <c r="CP5" s="323">
        <f t="shared" ref="CP5:CP18" si="12">(HLOOKUP(AB5,$BZ$4:$CD$14,10,FALSE))*$AE5</f>
        <v>0</v>
      </c>
      <c r="CQ5" s="323">
        <f t="shared" ref="CQ5:CQ18" si="13">(HLOOKUP(AC5,$BZ$4:$CD$14,11,FALSE))*$AE5</f>
        <v>0</v>
      </c>
      <c r="CR5" s="324">
        <f>SUM(CH5:CQ5)</f>
        <v>33750</v>
      </c>
      <c r="CS5" s="325">
        <f>(HLOOKUP($AI5,'Inflation Adjustments'!$M$3:$BT$4,2,TRUE))*CH5</f>
        <v>5308.8929003288313</v>
      </c>
      <c r="CT5" s="325">
        <f>(HLOOKUP($AI5,'Inflation Adjustments'!$M$3:$BT$4,2,TRUE))*CI5</f>
        <v>17696.309667762769</v>
      </c>
      <c r="CU5" s="325">
        <f>(HLOOKUP($AI5,'Inflation Adjustments'!$M$3:$BT$4,2,TRUE))*CJ5</f>
        <v>3539.2619335525542</v>
      </c>
      <c r="CV5" s="325">
        <f>(HLOOKUP($AI5,'Inflation Adjustments'!$M$3:$BT$4,2,TRUE))*CK5</f>
        <v>0</v>
      </c>
      <c r="CW5" s="325">
        <f>(HLOOKUP($AI5,'Inflation Adjustments'!$M$3:$BT$4,2,TRUE))*CL5</f>
        <v>0</v>
      </c>
      <c r="CX5" s="325">
        <f>(HLOOKUP($AI5,'Inflation Adjustments'!$M$3:$BT$4,2,TRUE))*CM5</f>
        <v>0</v>
      </c>
      <c r="CY5" s="325">
        <f>(HLOOKUP($AI5,'Inflation Adjustments'!$M$3:$BT$4,2,TRUE))*CN5</f>
        <v>0</v>
      </c>
      <c r="CZ5" s="325">
        <f>(HLOOKUP($AI5,'Inflation Adjustments'!$M$3:$BT$4,2,TRUE))*CO5</f>
        <v>0</v>
      </c>
      <c r="DA5" s="325">
        <f>(HLOOKUP($AI5,'Inflation Adjustments'!$M$3:$BT$4,2,TRUE))*CP5</f>
        <v>0</v>
      </c>
      <c r="DB5" s="325">
        <f>(HLOOKUP($AI5,'Inflation Adjustments'!$M$3:$BT$4,2,TRUE))*CQ5</f>
        <v>0</v>
      </c>
      <c r="DC5" s="325">
        <f>SUM(CS5:DB5)</f>
        <v>26544.464501644157</v>
      </c>
      <c r="DD5" s="326">
        <f t="shared" ref="DD5:DD18" si="14">IF(($C$1-AI5-1)&lt;0,0,$C$1-AI5-1)</f>
        <v>8</v>
      </c>
      <c r="DE5" s="323">
        <f t="shared" ref="DE5:DE18" si="15">(HLOOKUP(T5,$CD$4:$CG$14,2,FALSE))</f>
        <v>40</v>
      </c>
      <c r="DF5" s="323">
        <f t="shared" ref="DF5:DF18" si="16">(HLOOKUP(U5,$CD$4:$CG$14,3,FALSE))</f>
        <v>40</v>
      </c>
      <c r="DG5" s="323">
        <f t="shared" ref="DG5:DG18" si="17">(HLOOKUP(V5,$CD$4:$CG$14,4,FALSE))</f>
        <v>10</v>
      </c>
      <c r="DH5" s="323">
        <f t="shared" ref="DH5:DH18" si="18">(HLOOKUP(W5,$CD$4:$CG$14,5,FALSE))</f>
        <v>20</v>
      </c>
      <c r="DI5" s="323">
        <f t="shared" ref="DI5:DI18" si="19">(HLOOKUP(X5,$CD$4:$CG$14,6,FALSE))</f>
        <v>40</v>
      </c>
      <c r="DJ5" s="323">
        <f t="shared" ref="DJ5:DJ18" si="20">(HLOOKUP(Y5,$CD$4:$CG$14,7,FALSE))</f>
        <v>20</v>
      </c>
      <c r="DK5" s="323">
        <f t="shared" ref="DK5:DK18" si="21">(HLOOKUP(Z5,$CD$4:$CG$14,8,FALSE))</f>
        <v>10</v>
      </c>
      <c r="DL5" s="323">
        <f t="shared" ref="DL5:DL18" si="22">(HLOOKUP(AA5,$CD$4:$CG$14,8,FALSE))</f>
        <v>10</v>
      </c>
      <c r="DM5" s="323">
        <f t="shared" ref="DM5:DM18" si="23">(HLOOKUP(AB5,$CD$4:$CG$14,9))</f>
        <v>20</v>
      </c>
      <c r="DN5" s="323">
        <f t="shared" ref="DN5:DN18" si="24">(HLOOKUP(AC5,$CD$4:$CG$14,10))</f>
        <v>20</v>
      </c>
      <c r="DO5" s="327">
        <f t="shared" ref="DO5:DO18" si="25">CS5/DE5</f>
        <v>132.72232250822077</v>
      </c>
      <c r="DP5" s="327">
        <f t="shared" ref="DP5:DX16" si="26">CT5/DF5</f>
        <v>442.40774169406922</v>
      </c>
      <c r="DQ5" s="327">
        <f t="shared" si="26"/>
        <v>353.92619335525541</v>
      </c>
      <c r="DR5" s="327">
        <f t="shared" si="26"/>
        <v>0</v>
      </c>
      <c r="DS5" s="327">
        <f t="shared" si="26"/>
        <v>0</v>
      </c>
      <c r="DT5" s="327">
        <f t="shared" si="26"/>
        <v>0</v>
      </c>
      <c r="DU5" s="327">
        <f t="shared" si="26"/>
        <v>0</v>
      </c>
      <c r="DV5" s="327">
        <f t="shared" si="26"/>
        <v>0</v>
      </c>
      <c r="DW5" s="327">
        <f t="shared" si="26"/>
        <v>0</v>
      </c>
      <c r="DX5" s="327">
        <f t="shared" si="26"/>
        <v>0</v>
      </c>
      <c r="DY5" s="327">
        <f>SUM(DO5:DX5)</f>
        <v>929.05625755754545</v>
      </c>
      <c r="DZ5" s="323">
        <f t="shared" ref="DZ5:DZ18" si="27">IF(DO5*$DD5&gt;CS5,CS5,DO5*$DD5)</f>
        <v>1061.7785800657662</v>
      </c>
      <c r="EA5" s="323">
        <f t="shared" ref="EA5:EI16" si="28">IF(DP5*$DD5&gt;CT5,CT5,DP5*$DD5)</f>
        <v>3539.2619335525537</v>
      </c>
      <c r="EB5" s="323">
        <f t="shared" si="28"/>
        <v>2831.4095468420433</v>
      </c>
      <c r="EC5" s="323">
        <f t="shared" si="28"/>
        <v>0</v>
      </c>
      <c r="ED5" s="323">
        <f t="shared" si="28"/>
        <v>0</v>
      </c>
      <c r="EE5" s="323">
        <f t="shared" si="28"/>
        <v>0</v>
      </c>
      <c r="EF5" s="323">
        <f t="shared" si="28"/>
        <v>0</v>
      </c>
      <c r="EG5" s="323">
        <f t="shared" si="28"/>
        <v>0</v>
      </c>
      <c r="EH5" s="323">
        <f t="shared" si="28"/>
        <v>0</v>
      </c>
      <c r="EI5" s="323">
        <f t="shared" si="28"/>
        <v>0</v>
      </c>
      <c r="EJ5" s="324">
        <f>SUM(DZ5:EI5)</f>
        <v>7432.4500604603636</v>
      </c>
      <c r="EK5" s="327">
        <f t="shared" ref="EK5:EK18" si="29">IF(DO5&lt;(CS5-DZ5),DO5,(CS5-DZ5))</f>
        <v>132.72232250822077</v>
      </c>
      <c r="EL5" s="327">
        <f t="shared" ref="EL5:ET16" si="30">IF(DP5&lt;(CT5-EA5),DP5,(CT5-EA5))</f>
        <v>442.40774169406922</v>
      </c>
      <c r="EM5" s="327">
        <f t="shared" si="30"/>
        <v>353.92619335525541</v>
      </c>
      <c r="EN5" s="327">
        <f t="shared" si="30"/>
        <v>0</v>
      </c>
      <c r="EO5" s="327">
        <f t="shared" si="30"/>
        <v>0</v>
      </c>
      <c r="EP5" s="327">
        <f t="shared" si="30"/>
        <v>0</v>
      </c>
      <c r="EQ5" s="327">
        <f t="shared" si="30"/>
        <v>0</v>
      </c>
      <c r="ER5" s="327">
        <f t="shared" si="30"/>
        <v>0</v>
      </c>
      <c r="ES5" s="327">
        <f t="shared" si="30"/>
        <v>0</v>
      </c>
      <c r="ET5" s="327">
        <f t="shared" si="30"/>
        <v>0</v>
      </c>
      <c r="EU5" s="325">
        <f>SUM(EK5:ET5)</f>
        <v>929.05625755754545</v>
      </c>
      <c r="EV5" s="328"/>
      <c r="EW5" s="324"/>
      <c r="EX5" s="328"/>
      <c r="EY5" s="328"/>
      <c r="EZ5" s="323"/>
      <c r="FA5" s="323"/>
      <c r="FB5" s="323"/>
    </row>
    <row r="6" spans="1:158" ht="35" customHeight="1" x14ac:dyDescent="0.3">
      <c r="A6" s="330" t="s">
        <v>1715</v>
      </c>
      <c r="B6" s="318" t="s">
        <v>1383</v>
      </c>
      <c r="C6" s="318" t="s">
        <v>1147</v>
      </c>
      <c r="D6" s="318" t="s">
        <v>1384</v>
      </c>
      <c r="E6" s="318" t="s">
        <v>8</v>
      </c>
      <c r="F6" s="318" t="s">
        <v>271</v>
      </c>
      <c r="G6" s="318" t="s">
        <v>771</v>
      </c>
      <c r="H6" s="318" t="s">
        <v>1148</v>
      </c>
      <c r="I6" s="318" t="s">
        <v>1149</v>
      </c>
      <c r="J6" s="318" t="s">
        <v>1045</v>
      </c>
      <c r="K6" s="318" t="s">
        <v>1047</v>
      </c>
      <c r="L6" s="318" t="s">
        <v>1055</v>
      </c>
      <c r="M6" s="318" t="s">
        <v>1064</v>
      </c>
      <c r="N6" s="318" t="s">
        <v>1068</v>
      </c>
      <c r="O6" s="318" t="s">
        <v>1072</v>
      </c>
      <c r="P6" s="318" t="s">
        <v>1079</v>
      </c>
      <c r="Q6" s="318" t="s">
        <v>1080</v>
      </c>
      <c r="R6" s="318" t="s">
        <v>1086</v>
      </c>
      <c r="S6" s="318" t="s">
        <v>1088</v>
      </c>
      <c r="T6" s="318" t="s">
        <v>102</v>
      </c>
      <c r="U6" s="318" t="s">
        <v>102</v>
      </c>
      <c r="V6" s="318" t="s">
        <v>102</v>
      </c>
      <c r="W6" s="318" t="s">
        <v>102</v>
      </c>
      <c r="X6" s="318" t="s">
        <v>102</v>
      </c>
      <c r="Y6" s="318" t="s">
        <v>102</v>
      </c>
      <c r="Z6" s="318" t="s">
        <v>102</v>
      </c>
      <c r="AA6" s="318" t="s">
        <v>102</v>
      </c>
      <c r="AB6" s="318" t="s">
        <v>102</v>
      </c>
      <c r="AC6" s="318" t="s">
        <v>102</v>
      </c>
      <c r="AD6" s="318" t="s">
        <v>1771</v>
      </c>
      <c r="AE6" s="318">
        <v>45</v>
      </c>
      <c r="AF6" s="318">
        <v>40</v>
      </c>
      <c r="AG6" s="318">
        <v>1960</v>
      </c>
      <c r="AH6" s="318" t="s">
        <v>800</v>
      </c>
      <c r="AI6" s="318">
        <f>AG6</f>
        <v>1960</v>
      </c>
      <c r="AJ6" s="318" t="str">
        <f t="shared" ref="AJ6" si="31">AH6</f>
        <v>Estimated</v>
      </c>
      <c r="AK6" s="318">
        <v>2005</v>
      </c>
      <c r="AL6" s="318"/>
      <c r="AM6" s="317">
        <f t="shared" ref="AM6" si="32">DC6+EW6</f>
        <v>36772.691559404564</v>
      </c>
      <c r="AN6" s="317" t="s">
        <v>800</v>
      </c>
      <c r="AO6" s="511">
        <f t="shared" ref="AO6" si="33">EJ6+FA6</f>
        <v>32272.691559404564</v>
      </c>
      <c r="AP6" s="511">
        <f t="shared" ref="AP6" si="34">AM6-AO6</f>
        <v>4500</v>
      </c>
      <c r="AQ6" s="511">
        <f t="shared" ref="AQ6" si="35">EU6+FB6</f>
        <v>1500</v>
      </c>
      <c r="AR6" s="511">
        <f t="shared" ref="AR6" si="36">AP6-AQ6</f>
        <v>3000</v>
      </c>
      <c r="AS6" s="511">
        <f>HLOOKUP($C$1,'Inflation Adjustments'!$BI$3:$BT$4,2)*CR6</f>
        <v>102777.34359374999</v>
      </c>
      <c r="AT6" s="511">
        <f>IF(BU6="In Service",'Maintenace Cost Assumptions'!$B$3*AS6,0)</f>
        <v>513.88671796874996</v>
      </c>
      <c r="AU6" s="318">
        <v>3</v>
      </c>
      <c r="AV6" s="318">
        <v>3</v>
      </c>
      <c r="AW6" s="318">
        <v>3</v>
      </c>
      <c r="AX6" s="318">
        <v>3</v>
      </c>
      <c r="AY6" s="318">
        <v>2</v>
      </c>
      <c r="AZ6" s="318">
        <v>2</v>
      </c>
      <c r="BA6" s="318">
        <v>2</v>
      </c>
      <c r="BB6" s="318"/>
      <c r="BC6" s="318"/>
      <c r="BD6" s="318"/>
      <c r="BE6" s="318">
        <v>3</v>
      </c>
      <c r="BF6" s="318"/>
      <c r="BG6" s="332">
        <f>(AU6*'Condition rating weights'!H$8+AV6*'Condition rating weights'!I$8+AW6*'Condition rating weights'!J$8+AX6*'Condition rating weights'!K$8+AY6*'Condition rating weights'!L$8+AZ6*'Condition rating weights'!M$8+BA6*'Condition rating weights'!N$8+BB6*'Condition rating weights'!O$8+BC6*'Condition rating weights'!P$8+BD6*'Condition rating weights'!Q$8+BE6*'Condition rating weights'!R$8+BF6*'Condition rating weights'!S$8)/100</f>
        <v>0.56000000000000005</v>
      </c>
      <c r="BH6" s="333">
        <v>1</v>
      </c>
      <c r="BI6" s="333">
        <v>111</v>
      </c>
      <c r="BJ6" s="333" t="s">
        <v>12</v>
      </c>
      <c r="BK6" s="333" t="s">
        <v>959</v>
      </c>
      <c r="BL6" s="333" t="s">
        <v>960</v>
      </c>
      <c r="BM6" s="333" t="s">
        <v>961</v>
      </c>
      <c r="BN6" s="333" t="s">
        <v>117</v>
      </c>
      <c r="BO6" s="333" t="s">
        <v>962</v>
      </c>
      <c r="BP6" s="333" t="s">
        <v>962</v>
      </c>
      <c r="BQ6" s="333" t="s">
        <v>963</v>
      </c>
      <c r="BR6" s="333" t="s">
        <v>964</v>
      </c>
      <c r="BS6" s="333" t="s">
        <v>964</v>
      </c>
      <c r="BT6" s="334" t="s">
        <v>965</v>
      </c>
      <c r="BU6" s="335" t="s">
        <v>1430</v>
      </c>
      <c r="BV6" s="255"/>
      <c r="BY6" s="306" t="str">
        <f>'GRC and TUL Assumptions'!A6</f>
        <v>Structure</v>
      </c>
      <c r="BZ6" s="305">
        <f>'GRC and TUL Assumptions'!C6</f>
        <v>500</v>
      </c>
      <c r="CA6" s="305">
        <f>'GRC and TUL Assumptions'!D6</f>
        <v>800</v>
      </c>
      <c r="CB6" s="305">
        <f>'GRC and TUL Assumptions'!E6</f>
        <v>1500</v>
      </c>
      <c r="CC6" s="305">
        <v>0</v>
      </c>
      <c r="CD6" s="305">
        <f>'GRC and TUL Assumptions'!F6</f>
        <v>40</v>
      </c>
      <c r="CE6" s="305">
        <f>'GRC and TUL Assumptions'!G6</f>
        <v>60</v>
      </c>
      <c r="CF6" s="305">
        <f>'GRC and TUL Assumptions'!H6</f>
        <v>60</v>
      </c>
      <c r="CG6" s="305">
        <f t="shared" ref="CG6" si="37">CD6</f>
        <v>40</v>
      </c>
      <c r="CH6" s="323">
        <f t="shared" si="5"/>
        <v>6750</v>
      </c>
      <c r="CI6" s="323">
        <f t="shared" si="6"/>
        <v>22500</v>
      </c>
      <c r="CJ6" s="323">
        <f>(HLOOKUP(V6,$BZ$4:$CD$14,4,TRUE))*$AE6/BH6</f>
        <v>4500</v>
      </c>
      <c r="CK6" s="323">
        <f t="shared" si="7"/>
        <v>6750</v>
      </c>
      <c r="CL6" s="323">
        <f t="shared" si="8"/>
        <v>11250</v>
      </c>
      <c r="CM6" s="323">
        <f t="shared" si="9"/>
        <v>4500</v>
      </c>
      <c r="CN6" s="323">
        <f t="shared" si="10"/>
        <v>3600</v>
      </c>
      <c r="CO6" s="323">
        <f t="shared" si="11"/>
        <v>3600</v>
      </c>
      <c r="CP6" s="323">
        <f t="shared" si="12"/>
        <v>4500</v>
      </c>
      <c r="CQ6" s="323">
        <f t="shared" si="13"/>
        <v>900</v>
      </c>
      <c r="CR6" s="324">
        <f t="shared" ref="CR6" si="38">SUM(CH6:CQ6)</f>
        <v>68850</v>
      </c>
      <c r="CS6" s="325">
        <f>(HLOOKUP($AI6,'Inflation Adjustments'!$B$3:$BT$4,2,TRUE))*CH6</f>
        <v>663.98936856907505</v>
      </c>
      <c r="CT6" s="325">
        <f>(HLOOKUP($AI6,'Inflation Adjustments'!$B$3:$BT$4,2,TRUE))*CI6</f>
        <v>2213.2978952302501</v>
      </c>
      <c r="CU6" s="325">
        <f>(HLOOKUP($AI6,'Inflation Adjustments'!$B$3:$BT$4,2,TRUE))*CJ6</f>
        <v>442.65957904605</v>
      </c>
      <c r="CV6" s="325">
        <f>(HLOOKUP($AI6,'Inflation Adjustments'!$B$3:$BT$4,2,TRUE))*CK6</f>
        <v>663.98936856907505</v>
      </c>
      <c r="CW6" s="325">
        <f>(HLOOKUP($AI6,'Inflation Adjustments'!$B$3:$BT$4,2,TRUE))*CL6</f>
        <v>1106.6489476151251</v>
      </c>
      <c r="CX6" s="325">
        <f>(HLOOKUP($AI6,'Inflation Adjustments'!$B$3:$BT$4,2,TRUE))*CM6</f>
        <v>442.65957904605</v>
      </c>
      <c r="CY6" s="325">
        <f>(HLOOKUP($AI6,'Inflation Adjustments'!$B$3:$BT$4,2,TRUE))*CN6</f>
        <v>354.12766323684002</v>
      </c>
      <c r="CZ6" s="325">
        <f>(HLOOKUP($AI6,'Inflation Adjustments'!$B$3:$BT$4,2,TRUE))*CO6</f>
        <v>354.12766323684002</v>
      </c>
      <c r="DA6" s="325">
        <f>(HLOOKUP($AI6,'Inflation Adjustments'!$B$3:$BT$4,2,TRUE))*CP6</f>
        <v>442.65957904605</v>
      </c>
      <c r="DB6" s="325">
        <f>(HLOOKUP($AI6,'Inflation Adjustments'!$B$3:$BT$4,2,TRUE))*CQ6</f>
        <v>88.531915809210005</v>
      </c>
      <c r="DC6" s="325">
        <f t="shared" ref="DC6" si="39">SUM(CS6:DB6)</f>
        <v>6772.691559404564</v>
      </c>
      <c r="DD6" s="326">
        <f t="shared" si="14"/>
        <v>62</v>
      </c>
      <c r="DE6" s="323">
        <f t="shared" si="15"/>
        <v>40</v>
      </c>
      <c r="DF6" s="323">
        <f t="shared" si="16"/>
        <v>40</v>
      </c>
      <c r="DG6" s="323">
        <f t="shared" si="17"/>
        <v>10</v>
      </c>
      <c r="DH6" s="323">
        <f t="shared" si="18"/>
        <v>20</v>
      </c>
      <c r="DI6" s="323">
        <f t="shared" si="19"/>
        <v>40</v>
      </c>
      <c r="DJ6" s="323">
        <f t="shared" si="20"/>
        <v>20</v>
      </c>
      <c r="DK6" s="323">
        <f t="shared" si="21"/>
        <v>10</v>
      </c>
      <c r="DL6" s="323">
        <f t="shared" si="22"/>
        <v>10</v>
      </c>
      <c r="DM6" s="323">
        <f t="shared" si="23"/>
        <v>20</v>
      </c>
      <c r="DN6" s="323">
        <f t="shared" si="24"/>
        <v>20</v>
      </c>
      <c r="DO6" s="327">
        <f t="shared" si="25"/>
        <v>16.599734214226878</v>
      </c>
      <c r="DP6" s="327">
        <f t="shared" si="26"/>
        <v>55.33244738075625</v>
      </c>
      <c r="DQ6" s="327">
        <f t="shared" si="26"/>
        <v>44.265957904605003</v>
      </c>
      <c r="DR6" s="327">
        <f t="shared" si="26"/>
        <v>33.199468428453756</v>
      </c>
      <c r="DS6" s="327">
        <f t="shared" si="26"/>
        <v>27.666223690378125</v>
      </c>
      <c r="DT6" s="327">
        <f t="shared" si="26"/>
        <v>22.132978952302501</v>
      </c>
      <c r="DU6" s="327">
        <f t="shared" si="26"/>
        <v>35.412766323684004</v>
      </c>
      <c r="DV6" s="327">
        <f t="shared" si="26"/>
        <v>35.412766323684004</v>
      </c>
      <c r="DW6" s="327">
        <f t="shared" si="26"/>
        <v>22.132978952302501</v>
      </c>
      <c r="DX6" s="327">
        <f t="shared" si="26"/>
        <v>4.4265957904605004</v>
      </c>
      <c r="DY6" s="327">
        <f t="shared" ref="DY6" si="40">SUM(DO6:DX6)</f>
        <v>296.5819179608535</v>
      </c>
      <c r="DZ6" s="323">
        <f t="shared" si="27"/>
        <v>663.98936856907505</v>
      </c>
      <c r="EA6" s="323">
        <f t="shared" si="28"/>
        <v>2213.2978952302501</v>
      </c>
      <c r="EB6" s="323">
        <f t="shared" si="28"/>
        <v>442.65957904605</v>
      </c>
      <c r="EC6" s="323">
        <f t="shared" si="28"/>
        <v>663.98936856907505</v>
      </c>
      <c r="ED6" s="323">
        <f t="shared" si="28"/>
        <v>1106.6489476151251</v>
      </c>
      <c r="EE6" s="323">
        <f t="shared" si="28"/>
        <v>442.65957904605</v>
      </c>
      <c r="EF6" s="323">
        <f t="shared" si="28"/>
        <v>354.12766323684002</v>
      </c>
      <c r="EG6" s="323">
        <f t="shared" si="28"/>
        <v>354.12766323684002</v>
      </c>
      <c r="EH6" s="323">
        <f t="shared" si="28"/>
        <v>442.65957904605</v>
      </c>
      <c r="EI6" s="323">
        <f t="shared" si="28"/>
        <v>88.531915809210005</v>
      </c>
      <c r="EJ6" s="324">
        <f t="shared" ref="EJ6" si="41">SUM(DZ6:EI6)</f>
        <v>6772.691559404564</v>
      </c>
      <c r="EK6" s="327">
        <f t="shared" si="29"/>
        <v>0</v>
      </c>
      <c r="EL6" s="327">
        <f t="shared" si="30"/>
        <v>0</v>
      </c>
      <c r="EM6" s="327">
        <f t="shared" si="30"/>
        <v>0</v>
      </c>
      <c r="EN6" s="327">
        <f t="shared" si="30"/>
        <v>0</v>
      </c>
      <c r="EO6" s="327">
        <f t="shared" si="30"/>
        <v>0</v>
      </c>
      <c r="EP6" s="327">
        <f t="shared" si="30"/>
        <v>0</v>
      </c>
      <c r="EQ6" s="327">
        <f t="shared" si="30"/>
        <v>0</v>
      </c>
      <c r="ER6" s="327">
        <f t="shared" si="30"/>
        <v>0</v>
      </c>
      <c r="ES6" s="327">
        <f t="shared" si="30"/>
        <v>0</v>
      </c>
      <c r="ET6" s="327">
        <f t="shared" si="30"/>
        <v>0</v>
      </c>
      <c r="EU6" s="325">
        <f t="shared" ref="EU6" si="42">SUM(EK6:ET6)</f>
        <v>0</v>
      </c>
      <c r="EV6" s="328">
        <v>2005</v>
      </c>
      <c r="EW6" s="347">
        <v>30000</v>
      </c>
      <c r="EX6" s="328">
        <v>20</v>
      </c>
      <c r="EY6" s="328">
        <f>$C$1-1-EV6</f>
        <v>17</v>
      </c>
      <c r="EZ6" s="323">
        <f>EW6/EX6</f>
        <v>1500</v>
      </c>
      <c r="FA6" s="323">
        <f>IF(EY6*EZ6&lt;EW6,EY6*EZ6,EW6)</f>
        <v>25500</v>
      </c>
      <c r="FB6" s="323">
        <f>IF(EZ6&lt;(EW6-FA6),EZ6,(E40-FA6))</f>
        <v>1500</v>
      </c>
    </row>
    <row r="7" spans="1:158" ht="61.5" customHeight="1" x14ac:dyDescent="0.3">
      <c r="A7" s="330"/>
      <c r="B7" s="318"/>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7"/>
      <c r="AN7" s="317"/>
      <c r="AO7" s="511" t="e">
        <f t="shared" ref="AO7:AO15" si="43">EJ7+FA7</f>
        <v>#N/A</v>
      </c>
      <c r="AP7" s="511" t="e">
        <f t="shared" ref="AP7:AP15" si="44">AM7-AO7</f>
        <v>#N/A</v>
      </c>
      <c r="AQ7" s="511" t="e">
        <f t="shared" ref="AQ7:AQ15" si="45">EU7+FB7</f>
        <v>#N/A</v>
      </c>
      <c r="AR7" s="511" t="e">
        <f t="shared" ref="AR7:AR15" si="46">AP7-AQ7</f>
        <v>#N/A</v>
      </c>
      <c r="AS7" s="511" t="e">
        <f>HLOOKUP($C$1,'Inflation Adjustments'!$BI$3:$BT$4,2)*CR7</f>
        <v>#N/A</v>
      </c>
      <c r="AT7" s="511">
        <f>IF(BU7="In Service",'Maintenace Cost Assumptions'!$B$3*AS7,0)</f>
        <v>0</v>
      </c>
      <c r="AU7" s="318"/>
      <c r="AV7" s="318"/>
      <c r="AW7" s="318"/>
      <c r="AX7" s="318"/>
      <c r="AY7" s="318"/>
      <c r="AZ7" s="318"/>
      <c r="BA7" s="318"/>
      <c r="BB7" s="318"/>
      <c r="BC7" s="318"/>
      <c r="BD7" s="318"/>
      <c r="BE7" s="318"/>
      <c r="BF7" s="318"/>
      <c r="BG7" s="332">
        <f>(AU7*'Condition rating weights'!H$8+AV7*'Condition rating weights'!I$8+AW7*'Condition rating weights'!J$8+AX7*'Condition rating weights'!K$8+AY7*'Condition rating weights'!L$8+AZ7*'Condition rating weights'!M$8+BA7*'Condition rating weights'!N$8+BB7*'Condition rating weights'!O$8+BC7*'Condition rating weights'!P$8+BD7*'Condition rating weights'!Q$8+BE7*'Condition rating weights'!R$8+BF7*'Condition rating weights'!S$8)/100</f>
        <v>0</v>
      </c>
      <c r="BH7" s="318"/>
      <c r="BI7" s="333"/>
      <c r="BJ7" s="333"/>
      <c r="BK7" s="333"/>
      <c r="BL7" s="333"/>
      <c r="BM7" s="333"/>
      <c r="BN7" s="333"/>
      <c r="BO7" s="333"/>
      <c r="BP7" s="333"/>
      <c r="BQ7" s="333"/>
      <c r="BR7" s="333"/>
      <c r="BS7" s="333"/>
      <c r="BT7" s="334"/>
      <c r="BU7" s="335"/>
      <c r="BV7" s="255"/>
      <c r="BY7" s="306" t="str">
        <f>'GRC and TUL Assumptions'!A7</f>
        <v>Roofing</v>
      </c>
      <c r="BZ7" s="305">
        <f>'GRC and TUL Assumptions'!C7</f>
        <v>100</v>
      </c>
      <c r="CA7" s="305">
        <f>'GRC and TUL Assumptions'!D7</f>
        <v>150</v>
      </c>
      <c r="CB7" s="305">
        <f>'GRC and TUL Assumptions'!E7</f>
        <v>300</v>
      </c>
      <c r="CC7" s="305">
        <v>0</v>
      </c>
      <c r="CD7" s="305">
        <f>'GRC and TUL Assumptions'!F7</f>
        <v>10</v>
      </c>
      <c r="CE7" s="305">
        <f>'GRC and TUL Assumptions'!G7</f>
        <v>20</v>
      </c>
      <c r="CF7" s="305">
        <f>'GRC and TUL Assumptions'!H7</f>
        <v>30</v>
      </c>
      <c r="CG7" s="305">
        <f t="shared" ref="CG7:CG14" si="47">CD7</f>
        <v>10</v>
      </c>
      <c r="CH7" s="323" t="e">
        <f t="shared" si="5"/>
        <v>#N/A</v>
      </c>
      <c r="CI7" s="323" t="e">
        <f t="shared" si="6"/>
        <v>#N/A</v>
      </c>
      <c r="CJ7" s="323" t="e">
        <f t="shared" ref="CJ7:CJ18" si="48">(HLOOKUP(V7,$BZ$4:$CD$14,4,TRUE))*$AE7</f>
        <v>#N/A</v>
      </c>
      <c r="CK7" s="323" t="e">
        <f t="shared" si="7"/>
        <v>#N/A</v>
      </c>
      <c r="CL7" s="323" t="e">
        <f t="shared" si="8"/>
        <v>#N/A</v>
      </c>
      <c r="CM7" s="323" t="e">
        <f t="shared" si="9"/>
        <v>#N/A</v>
      </c>
      <c r="CN7" s="323" t="e">
        <f t="shared" si="10"/>
        <v>#N/A</v>
      </c>
      <c r="CO7" s="323" t="e">
        <f t="shared" si="11"/>
        <v>#N/A</v>
      </c>
      <c r="CP7" s="323" t="e">
        <f t="shared" si="12"/>
        <v>#N/A</v>
      </c>
      <c r="CQ7" s="323" t="e">
        <f t="shared" si="13"/>
        <v>#N/A</v>
      </c>
      <c r="CR7" s="324" t="e">
        <f t="shared" ref="CR7:CR18" si="49">SUM(CH7:CQ7)</f>
        <v>#N/A</v>
      </c>
      <c r="CS7" s="325" t="e">
        <f>(HLOOKUP($AI7,'Inflation Adjustments'!$B$3:$BT$4,2,TRUE))*CH7</f>
        <v>#N/A</v>
      </c>
      <c r="CT7" s="325" t="e">
        <f>(HLOOKUP($AI7,'Inflation Adjustments'!$B$3:$BT$4,2,TRUE))*CI7</f>
        <v>#N/A</v>
      </c>
      <c r="CU7" s="325" t="e">
        <f>(HLOOKUP($AI7,'Inflation Adjustments'!$B$3:$BT$4,2,TRUE))*CJ7</f>
        <v>#N/A</v>
      </c>
      <c r="CV7" s="325" t="e">
        <f>(HLOOKUP($AI7,'Inflation Adjustments'!$B$3:$BT$4,2,TRUE))*CK7</f>
        <v>#N/A</v>
      </c>
      <c r="CW7" s="325" t="e">
        <f>(HLOOKUP($AI7,'Inflation Adjustments'!$B$3:$BT$4,2,TRUE))*CL7</f>
        <v>#N/A</v>
      </c>
      <c r="CX7" s="325" t="e">
        <f>(HLOOKUP($AI7,'Inflation Adjustments'!$B$3:$BT$4,2,TRUE))*CM7</f>
        <v>#N/A</v>
      </c>
      <c r="CY7" s="325" t="e">
        <f>(HLOOKUP($AI7,'Inflation Adjustments'!$B$3:$BT$4,2,TRUE))*CN7</f>
        <v>#N/A</v>
      </c>
      <c r="CZ7" s="325" t="e">
        <f>(HLOOKUP($AI7,'Inflation Adjustments'!$B$3:$BT$4,2,TRUE))*CO7</f>
        <v>#N/A</v>
      </c>
      <c r="DA7" s="325" t="e">
        <f>(HLOOKUP($AI7,'Inflation Adjustments'!$B$3:$BT$4,2,TRUE))*CP7</f>
        <v>#N/A</v>
      </c>
      <c r="DB7" s="325" t="e">
        <f>(HLOOKUP($AI7,'Inflation Adjustments'!$B$3:$BT$4,2,TRUE))*CQ7</f>
        <v>#N/A</v>
      </c>
      <c r="DC7" s="325" t="e">
        <f t="shared" ref="DC7:DC18" si="50">SUM(CS7:DB7)</f>
        <v>#N/A</v>
      </c>
      <c r="DD7" s="326">
        <f t="shared" si="14"/>
        <v>2022</v>
      </c>
      <c r="DE7" s="323" t="e">
        <f t="shared" si="15"/>
        <v>#N/A</v>
      </c>
      <c r="DF7" s="323" t="e">
        <f t="shared" si="16"/>
        <v>#N/A</v>
      </c>
      <c r="DG7" s="323" t="e">
        <f t="shared" si="17"/>
        <v>#N/A</v>
      </c>
      <c r="DH7" s="323" t="e">
        <f t="shared" si="18"/>
        <v>#N/A</v>
      </c>
      <c r="DI7" s="323" t="e">
        <f t="shared" si="19"/>
        <v>#N/A</v>
      </c>
      <c r="DJ7" s="323" t="e">
        <f t="shared" si="20"/>
        <v>#N/A</v>
      </c>
      <c r="DK7" s="323" t="e">
        <f t="shared" si="21"/>
        <v>#N/A</v>
      </c>
      <c r="DL7" s="323" t="e">
        <f t="shared" si="22"/>
        <v>#N/A</v>
      </c>
      <c r="DM7" s="323" t="e">
        <f t="shared" si="23"/>
        <v>#N/A</v>
      </c>
      <c r="DN7" s="323" t="e">
        <f t="shared" si="24"/>
        <v>#N/A</v>
      </c>
      <c r="DO7" s="327" t="e">
        <f t="shared" si="25"/>
        <v>#N/A</v>
      </c>
      <c r="DP7" s="327" t="e">
        <f t="shared" si="26"/>
        <v>#N/A</v>
      </c>
      <c r="DQ7" s="327" t="e">
        <f t="shared" si="26"/>
        <v>#N/A</v>
      </c>
      <c r="DR7" s="327" t="e">
        <f t="shared" si="26"/>
        <v>#N/A</v>
      </c>
      <c r="DS7" s="327" t="e">
        <f t="shared" si="26"/>
        <v>#N/A</v>
      </c>
      <c r="DT7" s="327" t="e">
        <f t="shared" si="26"/>
        <v>#N/A</v>
      </c>
      <c r="DU7" s="327" t="e">
        <f t="shared" si="26"/>
        <v>#N/A</v>
      </c>
      <c r="DV7" s="327" t="e">
        <f t="shared" si="26"/>
        <v>#N/A</v>
      </c>
      <c r="DW7" s="327" t="e">
        <f t="shared" si="26"/>
        <v>#N/A</v>
      </c>
      <c r="DX7" s="327" t="e">
        <f t="shared" si="26"/>
        <v>#N/A</v>
      </c>
      <c r="DY7" s="327" t="e">
        <f t="shared" ref="DY7:DY18" si="51">SUM(DO7:DX7)</f>
        <v>#N/A</v>
      </c>
      <c r="DZ7" s="323" t="e">
        <f t="shared" si="27"/>
        <v>#N/A</v>
      </c>
      <c r="EA7" s="323" t="e">
        <f t="shared" si="28"/>
        <v>#N/A</v>
      </c>
      <c r="EB7" s="323" t="e">
        <f t="shared" si="28"/>
        <v>#N/A</v>
      </c>
      <c r="EC7" s="323" t="e">
        <f t="shared" si="28"/>
        <v>#N/A</v>
      </c>
      <c r="ED7" s="323" t="e">
        <f t="shared" si="28"/>
        <v>#N/A</v>
      </c>
      <c r="EE7" s="323" t="e">
        <f t="shared" si="28"/>
        <v>#N/A</v>
      </c>
      <c r="EF7" s="323" t="e">
        <f t="shared" si="28"/>
        <v>#N/A</v>
      </c>
      <c r="EG7" s="323" t="e">
        <f t="shared" si="28"/>
        <v>#N/A</v>
      </c>
      <c r="EH7" s="323" t="e">
        <f t="shared" si="28"/>
        <v>#N/A</v>
      </c>
      <c r="EI7" s="323" t="e">
        <f t="shared" si="28"/>
        <v>#N/A</v>
      </c>
      <c r="EJ7" s="324" t="e">
        <f t="shared" ref="EJ7:EJ18" si="52">SUM(DZ7:EI7)</f>
        <v>#N/A</v>
      </c>
      <c r="EK7" s="327" t="e">
        <f t="shared" si="29"/>
        <v>#N/A</v>
      </c>
      <c r="EL7" s="327" t="e">
        <f t="shared" si="30"/>
        <v>#N/A</v>
      </c>
      <c r="EM7" s="327" t="e">
        <f t="shared" si="30"/>
        <v>#N/A</v>
      </c>
      <c r="EN7" s="327" t="e">
        <f t="shared" si="30"/>
        <v>#N/A</v>
      </c>
      <c r="EO7" s="327" t="e">
        <f t="shared" si="30"/>
        <v>#N/A</v>
      </c>
      <c r="EP7" s="327" t="e">
        <f t="shared" si="30"/>
        <v>#N/A</v>
      </c>
      <c r="EQ7" s="327" t="e">
        <f t="shared" si="30"/>
        <v>#N/A</v>
      </c>
      <c r="ER7" s="327" t="e">
        <f t="shared" si="30"/>
        <v>#N/A</v>
      </c>
      <c r="ES7" s="327" t="e">
        <f t="shared" si="30"/>
        <v>#N/A</v>
      </c>
      <c r="ET7" s="327" t="e">
        <f t="shared" si="30"/>
        <v>#N/A</v>
      </c>
      <c r="EU7" s="325" t="e">
        <f t="shared" ref="EU7:EU18" si="53">SUM(EK7:ET7)</f>
        <v>#N/A</v>
      </c>
      <c r="EV7" s="328"/>
      <c r="EW7" s="324"/>
      <c r="EX7" s="323"/>
      <c r="EY7" s="328"/>
      <c r="EZ7" s="323"/>
      <c r="FA7" s="323"/>
      <c r="FB7" s="323">
        <f>IF(EZ7&lt;(EW7-FA7),EZ7,(E44-FA7))</f>
        <v>0</v>
      </c>
    </row>
    <row r="8" spans="1:158" ht="61.5" customHeight="1" x14ac:dyDescent="0.3">
      <c r="A8" s="330"/>
      <c r="B8" s="318"/>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317"/>
      <c r="AN8" s="317"/>
      <c r="AO8" s="511" t="e">
        <f t="shared" si="43"/>
        <v>#N/A</v>
      </c>
      <c r="AP8" s="511" t="e">
        <f t="shared" si="44"/>
        <v>#N/A</v>
      </c>
      <c r="AQ8" s="511" t="e">
        <f t="shared" si="45"/>
        <v>#N/A</v>
      </c>
      <c r="AR8" s="511" t="e">
        <f t="shared" si="46"/>
        <v>#N/A</v>
      </c>
      <c r="AS8" s="511" t="e">
        <f>HLOOKUP($C$1,'Inflation Adjustments'!$BI$3:$BT$4,2)*CR8</f>
        <v>#N/A</v>
      </c>
      <c r="AT8" s="511">
        <f>IF(BU8="In Service",'Maintenace Cost Assumptions'!$B$3*AS8,0)</f>
        <v>0</v>
      </c>
      <c r="AU8" s="318"/>
      <c r="AV8" s="318"/>
      <c r="AW8" s="318"/>
      <c r="AX8" s="318"/>
      <c r="AY8" s="318"/>
      <c r="AZ8" s="318"/>
      <c r="BA8" s="318"/>
      <c r="BB8" s="318"/>
      <c r="BC8" s="318"/>
      <c r="BD8" s="318"/>
      <c r="BE8" s="318"/>
      <c r="BF8" s="318"/>
      <c r="BG8" s="332">
        <f>(AU8*'Condition rating weights'!H$8+AV8*'Condition rating weights'!I$8+AW8*'Condition rating weights'!J$8+AX8*'Condition rating weights'!K$8+AY8*'Condition rating weights'!L$8+AZ8*'Condition rating weights'!M$8+BA8*'Condition rating weights'!N$8+BB8*'Condition rating weights'!O$8+BC8*'Condition rating weights'!P$8+BD8*'Condition rating weights'!Q$8+BE8*'Condition rating weights'!R$8+BF8*'Condition rating weights'!S$8)/100</f>
        <v>0</v>
      </c>
      <c r="BH8" s="318"/>
      <c r="BI8" s="333"/>
      <c r="BJ8" s="333"/>
      <c r="BK8" s="333"/>
      <c r="BL8" s="333"/>
      <c r="BM8" s="333"/>
      <c r="BN8" s="333"/>
      <c r="BO8" s="333"/>
      <c r="BP8" s="333"/>
      <c r="BQ8" s="333"/>
      <c r="BR8" s="333"/>
      <c r="BS8" s="333"/>
      <c r="BT8" s="334"/>
      <c r="BU8" s="335"/>
      <c r="BV8" s="255"/>
      <c r="BY8" s="306" t="str">
        <f>'GRC and TUL Assumptions'!A8</f>
        <v>Exterior Wall Cladding</v>
      </c>
      <c r="BZ8" s="305">
        <f>'GRC and TUL Assumptions'!C8</f>
        <v>150</v>
      </c>
      <c r="CA8" s="305">
        <f>'GRC and TUL Assumptions'!D8</f>
        <v>230</v>
      </c>
      <c r="CB8" s="305">
        <f>'GRC and TUL Assumptions'!E8</f>
        <v>300</v>
      </c>
      <c r="CC8" s="305">
        <v>0</v>
      </c>
      <c r="CD8" s="305">
        <f>'GRC and TUL Assumptions'!F8</f>
        <v>20</v>
      </c>
      <c r="CE8" s="305">
        <f>'GRC and TUL Assumptions'!G8</f>
        <v>30</v>
      </c>
      <c r="CF8" s="305">
        <f>'GRC and TUL Assumptions'!H8</f>
        <v>40</v>
      </c>
      <c r="CG8" s="305">
        <f t="shared" si="47"/>
        <v>20</v>
      </c>
      <c r="CH8" s="323" t="e">
        <f t="shared" si="5"/>
        <v>#N/A</v>
      </c>
      <c r="CI8" s="323" t="e">
        <f t="shared" si="6"/>
        <v>#N/A</v>
      </c>
      <c r="CJ8" s="323" t="e">
        <f t="shared" si="48"/>
        <v>#N/A</v>
      </c>
      <c r="CK8" s="323" t="e">
        <f t="shared" si="7"/>
        <v>#N/A</v>
      </c>
      <c r="CL8" s="323" t="e">
        <f t="shared" si="8"/>
        <v>#N/A</v>
      </c>
      <c r="CM8" s="323" t="e">
        <f t="shared" si="9"/>
        <v>#N/A</v>
      </c>
      <c r="CN8" s="323" t="e">
        <f t="shared" si="10"/>
        <v>#N/A</v>
      </c>
      <c r="CO8" s="323" t="e">
        <f t="shared" si="11"/>
        <v>#N/A</v>
      </c>
      <c r="CP8" s="323" t="e">
        <f t="shared" si="12"/>
        <v>#N/A</v>
      </c>
      <c r="CQ8" s="323" t="e">
        <f t="shared" si="13"/>
        <v>#N/A</v>
      </c>
      <c r="CR8" s="324" t="e">
        <f t="shared" si="49"/>
        <v>#N/A</v>
      </c>
      <c r="CS8" s="325" t="e">
        <f>(HLOOKUP($AI8,'Inflation Adjustments'!$B$3:$BT$4,2,TRUE))*CH8</f>
        <v>#N/A</v>
      </c>
      <c r="CT8" s="325" t="e">
        <f>(HLOOKUP($AI8,'Inflation Adjustments'!$B$3:$BT$4,2,TRUE))*CI8</f>
        <v>#N/A</v>
      </c>
      <c r="CU8" s="325" t="e">
        <f>(HLOOKUP($AI8,'Inflation Adjustments'!$B$3:$BT$4,2,TRUE))*CJ8</f>
        <v>#N/A</v>
      </c>
      <c r="CV8" s="325" t="e">
        <f>(HLOOKUP($AI8,'Inflation Adjustments'!$B$3:$BT$4,2,TRUE))*CK8</f>
        <v>#N/A</v>
      </c>
      <c r="CW8" s="325" t="e">
        <f>(HLOOKUP($AI8,'Inflation Adjustments'!$B$3:$BT$4,2,TRUE))*CL8</f>
        <v>#N/A</v>
      </c>
      <c r="CX8" s="325" t="e">
        <f>(HLOOKUP($AI8,'Inflation Adjustments'!$B$3:$BT$4,2,TRUE))*CM8</f>
        <v>#N/A</v>
      </c>
      <c r="CY8" s="325" t="e">
        <f>(HLOOKUP($AI8,'Inflation Adjustments'!$B$3:$BT$4,2,TRUE))*CN8</f>
        <v>#N/A</v>
      </c>
      <c r="CZ8" s="325" t="e">
        <f>(HLOOKUP($AI8,'Inflation Adjustments'!$B$3:$BT$4,2,TRUE))*CO8</f>
        <v>#N/A</v>
      </c>
      <c r="DA8" s="325" t="e">
        <f>(HLOOKUP($AI8,'Inflation Adjustments'!$B$3:$BT$4,2,TRUE))*CP8</f>
        <v>#N/A</v>
      </c>
      <c r="DB8" s="325" t="e">
        <f>(HLOOKUP($AI8,'Inflation Adjustments'!$B$3:$BT$4,2,TRUE))*CQ8</f>
        <v>#N/A</v>
      </c>
      <c r="DC8" s="325" t="e">
        <f t="shared" si="50"/>
        <v>#N/A</v>
      </c>
      <c r="DD8" s="326">
        <f t="shared" si="14"/>
        <v>2022</v>
      </c>
      <c r="DE8" s="323" t="e">
        <f t="shared" si="15"/>
        <v>#N/A</v>
      </c>
      <c r="DF8" s="323" t="e">
        <f t="shared" si="16"/>
        <v>#N/A</v>
      </c>
      <c r="DG8" s="323" t="e">
        <f t="shared" si="17"/>
        <v>#N/A</v>
      </c>
      <c r="DH8" s="323" t="e">
        <f t="shared" si="18"/>
        <v>#N/A</v>
      </c>
      <c r="DI8" s="323" t="e">
        <f t="shared" si="19"/>
        <v>#N/A</v>
      </c>
      <c r="DJ8" s="323" t="e">
        <f t="shared" si="20"/>
        <v>#N/A</v>
      </c>
      <c r="DK8" s="323" t="e">
        <f t="shared" si="21"/>
        <v>#N/A</v>
      </c>
      <c r="DL8" s="323" t="e">
        <f t="shared" si="22"/>
        <v>#N/A</v>
      </c>
      <c r="DM8" s="323" t="e">
        <f t="shared" si="23"/>
        <v>#N/A</v>
      </c>
      <c r="DN8" s="323" t="e">
        <f t="shared" si="24"/>
        <v>#N/A</v>
      </c>
      <c r="DO8" s="327" t="e">
        <f t="shared" si="25"/>
        <v>#N/A</v>
      </c>
      <c r="DP8" s="327" t="e">
        <f t="shared" si="26"/>
        <v>#N/A</v>
      </c>
      <c r="DQ8" s="327" t="e">
        <f t="shared" si="26"/>
        <v>#N/A</v>
      </c>
      <c r="DR8" s="327" t="e">
        <f t="shared" si="26"/>
        <v>#N/A</v>
      </c>
      <c r="DS8" s="327" t="e">
        <f t="shared" si="26"/>
        <v>#N/A</v>
      </c>
      <c r="DT8" s="327" t="e">
        <f t="shared" si="26"/>
        <v>#N/A</v>
      </c>
      <c r="DU8" s="327" t="e">
        <f t="shared" si="26"/>
        <v>#N/A</v>
      </c>
      <c r="DV8" s="327" t="e">
        <f t="shared" si="26"/>
        <v>#N/A</v>
      </c>
      <c r="DW8" s="327" t="e">
        <f t="shared" si="26"/>
        <v>#N/A</v>
      </c>
      <c r="DX8" s="327" t="e">
        <f t="shared" si="26"/>
        <v>#N/A</v>
      </c>
      <c r="DY8" s="327" t="e">
        <f t="shared" si="51"/>
        <v>#N/A</v>
      </c>
      <c r="DZ8" s="323" t="e">
        <f t="shared" si="27"/>
        <v>#N/A</v>
      </c>
      <c r="EA8" s="323" t="e">
        <f t="shared" si="28"/>
        <v>#N/A</v>
      </c>
      <c r="EB8" s="323" t="e">
        <f t="shared" si="28"/>
        <v>#N/A</v>
      </c>
      <c r="EC8" s="323" t="e">
        <f t="shared" si="28"/>
        <v>#N/A</v>
      </c>
      <c r="ED8" s="323" t="e">
        <f t="shared" si="28"/>
        <v>#N/A</v>
      </c>
      <c r="EE8" s="323" t="e">
        <f t="shared" si="28"/>
        <v>#N/A</v>
      </c>
      <c r="EF8" s="323" t="e">
        <f t="shared" si="28"/>
        <v>#N/A</v>
      </c>
      <c r="EG8" s="323" t="e">
        <f t="shared" si="28"/>
        <v>#N/A</v>
      </c>
      <c r="EH8" s="323" t="e">
        <f t="shared" si="28"/>
        <v>#N/A</v>
      </c>
      <c r="EI8" s="323" t="e">
        <f t="shared" si="28"/>
        <v>#N/A</v>
      </c>
      <c r="EJ8" s="324" t="e">
        <f t="shared" si="52"/>
        <v>#N/A</v>
      </c>
      <c r="EK8" s="327" t="e">
        <f t="shared" si="29"/>
        <v>#N/A</v>
      </c>
      <c r="EL8" s="327" t="e">
        <f t="shared" si="30"/>
        <v>#N/A</v>
      </c>
      <c r="EM8" s="327" t="e">
        <f t="shared" si="30"/>
        <v>#N/A</v>
      </c>
      <c r="EN8" s="327" t="e">
        <f t="shared" si="30"/>
        <v>#N/A</v>
      </c>
      <c r="EO8" s="327" t="e">
        <f t="shared" si="30"/>
        <v>#N/A</v>
      </c>
      <c r="EP8" s="327" t="e">
        <f t="shared" si="30"/>
        <v>#N/A</v>
      </c>
      <c r="EQ8" s="327" t="e">
        <f t="shared" si="30"/>
        <v>#N/A</v>
      </c>
      <c r="ER8" s="327" t="e">
        <f t="shared" si="30"/>
        <v>#N/A</v>
      </c>
      <c r="ES8" s="327" t="e">
        <f t="shared" si="30"/>
        <v>#N/A</v>
      </c>
      <c r="ET8" s="327" t="e">
        <f t="shared" si="30"/>
        <v>#N/A</v>
      </c>
      <c r="EU8" s="325" t="e">
        <f t="shared" si="53"/>
        <v>#N/A</v>
      </c>
      <c r="EV8" s="328"/>
      <c r="EW8" s="336"/>
      <c r="EX8" s="336"/>
      <c r="EY8" s="336"/>
      <c r="EZ8" s="336"/>
      <c r="FA8" s="336"/>
      <c r="FB8" s="336"/>
    </row>
    <row r="9" spans="1:158" ht="56" customHeight="1" x14ac:dyDescent="0.3">
      <c r="A9" s="330"/>
      <c r="B9" s="318"/>
      <c r="C9" s="318"/>
      <c r="D9" s="318"/>
      <c r="E9" s="318"/>
      <c r="F9" s="318"/>
      <c r="G9" s="318"/>
      <c r="H9" s="331"/>
      <c r="I9" s="331"/>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7"/>
      <c r="AN9" s="317"/>
      <c r="AO9" s="511" t="e">
        <f t="shared" si="43"/>
        <v>#N/A</v>
      </c>
      <c r="AP9" s="511" t="e">
        <f t="shared" si="44"/>
        <v>#N/A</v>
      </c>
      <c r="AQ9" s="511" t="e">
        <f t="shared" si="45"/>
        <v>#N/A</v>
      </c>
      <c r="AR9" s="511" t="e">
        <f t="shared" si="46"/>
        <v>#N/A</v>
      </c>
      <c r="AS9" s="511" t="e">
        <f>HLOOKUP($C$1,'Inflation Adjustments'!$BI$3:$BT$4,2)*CR9</f>
        <v>#N/A</v>
      </c>
      <c r="AT9" s="511">
        <f>IF(BU9="In Service",'Maintenace Cost Assumptions'!$B$3*AS9,0)</f>
        <v>0</v>
      </c>
      <c r="AU9" s="318"/>
      <c r="AV9" s="318"/>
      <c r="AW9" s="318"/>
      <c r="AX9" s="318"/>
      <c r="AY9" s="318"/>
      <c r="AZ9" s="318"/>
      <c r="BA9" s="318"/>
      <c r="BB9" s="318"/>
      <c r="BC9" s="318"/>
      <c r="BD9" s="318"/>
      <c r="BE9" s="318"/>
      <c r="BF9" s="318"/>
      <c r="BG9" s="332">
        <f>(AU9*'Condition rating weights'!H$8+AV9*'Condition rating weights'!I$8+AW9*'Condition rating weights'!J$8+AX9*'Condition rating weights'!K$8+AY9*'Condition rating weights'!L$8+AZ9*'Condition rating weights'!M$8+BA9*'Condition rating weights'!N$8+BB9*'Condition rating weights'!O$8+BC9*'Condition rating weights'!P$8+BD9*'Condition rating weights'!Q$8+BE9*'Condition rating weights'!R$8+BF9*'Condition rating weights'!S$8)/100</f>
        <v>0</v>
      </c>
      <c r="BH9" s="318"/>
      <c r="BI9" s="333"/>
      <c r="BJ9" s="333"/>
      <c r="BK9" s="333"/>
      <c r="BL9" s="318"/>
      <c r="BM9" s="333"/>
      <c r="BN9" s="333"/>
      <c r="BO9" s="333"/>
      <c r="BP9" s="333"/>
      <c r="BQ9" s="333"/>
      <c r="BR9" s="333"/>
      <c r="BS9" s="333"/>
      <c r="BT9" s="334"/>
      <c r="BU9" s="335"/>
      <c r="BV9" s="255"/>
      <c r="BY9" s="306" t="str">
        <f>'GRC and TUL Assumptions'!A9</f>
        <v>Fitouts</v>
      </c>
      <c r="BZ9" s="305">
        <f>'GRC and TUL Assumptions'!C9</f>
        <v>250</v>
      </c>
      <c r="CA9" s="305">
        <f>'GRC and TUL Assumptions'!D9</f>
        <v>350</v>
      </c>
      <c r="CB9" s="305">
        <f>'GRC and TUL Assumptions'!E9</f>
        <v>500</v>
      </c>
      <c r="CC9" s="305">
        <v>0</v>
      </c>
      <c r="CD9" s="305">
        <f>'GRC and TUL Assumptions'!F9</f>
        <v>40</v>
      </c>
      <c r="CE9" s="305">
        <f>'GRC and TUL Assumptions'!G9</f>
        <v>60</v>
      </c>
      <c r="CF9" s="305">
        <f>'GRC and TUL Assumptions'!H9</f>
        <v>60</v>
      </c>
      <c r="CG9" s="305">
        <f t="shared" si="47"/>
        <v>40</v>
      </c>
      <c r="CH9" s="323" t="e">
        <f t="shared" si="5"/>
        <v>#N/A</v>
      </c>
      <c r="CI9" s="323" t="e">
        <f t="shared" si="6"/>
        <v>#N/A</v>
      </c>
      <c r="CJ9" s="323" t="e">
        <f t="shared" si="48"/>
        <v>#N/A</v>
      </c>
      <c r="CK9" s="323" t="e">
        <f t="shared" si="7"/>
        <v>#N/A</v>
      </c>
      <c r="CL9" s="323" t="e">
        <f t="shared" si="8"/>
        <v>#N/A</v>
      </c>
      <c r="CM9" s="323" t="e">
        <f t="shared" si="9"/>
        <v>#N/A</v>
      </c>
      <c r="CN9" s="323" t="e">
        <f t="shared" si="10"/>
        <v>#N/A</v>
      </c>
      <c r="CO9" s="323" t="e">
        <f t="shared" si="11"/>
        <v>#N/A</v>
      </c>
      <c r="CP9" s="323" t="e">
        <f t="shared" si="12"/>
        <v>#N/A</v>
      </c>
      <c r="CQ9" s="323" t="e">
        <f t="shared" si="13"/>
        <v>#N/A</v>
      </c>
      <c r="CR9" s="324" t="e">
        <f t="shared" si="49"/>
        <v>#N/A</v>
      </c>
      <c r="CS9" s="325" t="e">
        <f>(HLOOKUP($AI9,'Inflation Adjustments'!$B$3:$BT$4,2,TRUE))*CH9</f>
        <v>#N/A</v>
      </c>
      <c r="CT9" s="325" t="e">
        <f>(HLOOKUP($AI9,'Inflation Adjustments'!$B$3:$BT$4,2,TRUE))*CI9</f>
        <v>#N/A</v>
      </c>
      <c r="CU9" s="325" t="e">
        <f>(HLOOKUP($AI9,'Inflation Adjustments'!$B$3:$BT$4,2,TRUE))*CJ9</f>
        <v>#N/A</v>
      </c>
      <c r="CV9" s="325" t="e">
        <f>(HLOOKUP($AI9,'Inflation Adjustments'!$B$3:$BT$4,2,TRUE))*CK9</f>
        <v>#N/A</v>
      </c>
      <c r="CW9" s="325" t="e">
        <f>(HLOOKUP($AI9,'Inflation Adjustments'!$B$3:$BT$4,2,TRUE))*CL9</f>
        <v>#N/A</v>
      </c>
      <c r="CX9" s="325" t="e">
        <f>(HLOOKUP($AI9,'Inflation Adjustments'!$B$3:$BT$4,2,TRUE))*CM9</f>
        <v>#N/A</v>
      </c>
      <c r="CY9" s="325" t="e">
        <f>(HLOOKUP($AI9,'Inflation Adjustments'!$B$3:$BT$4,2,TRUE))*CN9</f>
        <v>#N/A</v>
      </c>
      <c r="CZ9" s="325" t="e">
        <f>(HLOOKUP($AI9,'Inflation Adjustments'!$B$3:$BT$4,2,TRUE))*CO9</f>
        <v>#N/A</v>
      </c>
      <c r="DA9" s="325" t="e">
        <f>(HLOOKUP($AI9,'Inflation Adjustments'!$B$3:$BT$4,2,TRUE))*CP9</f>
        <v>#N/A</v>
      </c>
      <c r="DB9" s="325" t="e">
        <f>(HLOOKUP($AI9,'Inflation Adjustments'!$B$3:$BT$4,2,TRUE))*CQ9</f>
        <v>#N/A</v>
      </c>
      <c r="DC9" s="325" t="e">
        <f t="shared" si="50"/>
        <v>#N/A</v>
      </c>
      <c r="DD9" s="326">
        <f t="shared" si="14"/>
        <v>2022</v>
      </c>
      <c r="DE9" s="323" t="e">
        <f t="shared" si="15"/>
        <v>#N/A</v>
      </c>
      <c r="DF9" s="323" t="e">
        <f t="shared" si="16"/>
        <v>#N/A</v>
      </c>
      <c r="DG9" s="323" t="e">
        <f t="shared" si="17"/>
        <v>#N/A</v>
      </c>
      <c r="DH9" s="323" t="e">
        <f t="shared" si="18"/>
        <v>#N/A</v>
      </c>
      <c r="DI9" s="323" t="e">
        <f t="shared" si="19"/>
        <v>#N/A</v>
      </c>
      <c r="DJ9" s="323" t="e">
        <f t="shared" si="20"/>
        <v>#N/A</v>
      </c>
      <c r="DK9" s="323" t="e">
        <f t="shared" si="21"/>
        <v>#N/A</v>
      </c>
      <c r="DL9" s="323" t="e">
        <f t="shared" si="22"/>
        <v>#N/A</v>
      </c>
      <c r="DM9" s="323" t="e">
        <f t="shared" si="23"/>
        <v>#N/A</v>
      </c>
      <c r="DN9" s="323" t="e">
        <f t="shared" si="24"/>
        <v>#N/A</v>
      </c>
      <c r="DO9" s="327" t="e">
        <f t="shared" si="25"/>
        <v>#N/A</v>
      </c>
      <c r="DP9" s="327" t="e">
        <f t="shared" si="26"/>
        <v>#N/A</v>
      </c>
      <c r="DQ9" s="327" t="e">
        <f t="shared" si="26"/>
        <v>#N/A</v>
      </c>
      <c r="DR9" s="327" t="e">
        <f t="shared" si="26"/>
        <v>#N/A</v>
      </c>
      <c r="DS9" s="327" t="e">
        <f t="shared" si="26"/>
        <v>#N/A</v>
      </c>
      <c r="DT9" s="327" t="e">
        <f t="shared" si="26"/>
        <v>#N/A</v>
      </c>
      <c r="DU9" s="327" t="e">
        <f t="shared" si="26"/>
        <v>#N/A</v>
      </c>
      <c r="DV9" s="327" t="e">
        <f t="shared" si="26"/>
        <v>#N/A</v>
      </c>
      <c r="DW9" s="327" t="e">
        <f t="shared" si="26"/>
        <v>#N/A</v>
      </c>
      <c r="DX9" s="327" t="e">
        <f t="shared" si="26"/>
        <v>#N/A</v>
      </c>
      <c r="DY9" s="327" t="e">
        <f t="shared" si="51"/>
        <v>#N/A</v>
      </c>
      <c r="DZ9" s="323" t="e">
        <f t="shared" si="27"/>
        <v>#N/A</v>
      </c>
      <c r="EA9" s="323" t="e">
        <f t="shared" si="28"/>
        <v>#N/A</v>
      </c>
      <c r="EB9" s="323" t="e">
        <f t="shared" si="28"/>
        <v>#N/A</v>
      </c>
      <c r="EC9" s="323" t="e">
        <f t="shared" si="28"/>
        <v>#N/A</v>
      </c>
      <c r="ED9" s="323" t="e">
        <f t="shared" si="28"/>
        <v>#N/A</v>
      </c>
      <c r="EE9" s="323" t="e">
        <f t="shared" si="28"/>
        <v>#N/A</v>
      </c>
      <c r="EF9" s="323" t="e">
        <f t="shared" si="28"/>
        <v>#N/A</v>
      </c>
      <c r="EG9" s="323" t="e">
        <f t="shared" si="28"/>
        <v>#N/A</v>
      </c>
      <c r="EH9" s="323" t="e">
        <f t="shared" si="28"/>
        <v>#N/A</v>
      </c>
      <c r="EI9" s="323" t="e">
        <f t="shared" si="28"/>
        <v>#N/A</v>
      </c>
      <c r="EJ9" s="324" t="e">
        <f t="shared" si="52"/>
        <v>#N/A</v>
      </c>
      <c r="EK9" s="327" t="e">
        <f t="shared" si="29"/>
        <v>#N/A</v>
      </c>
      <c r="EL9" s="327" t="e">
        <f t="shared" si="30"/>
        <v>#N/A</v>
      </c>
      <c r="EM9" s="327" t="e">
        <f t="shared" si="30"/>
        <v>#N/A</v>
      </c>
      <c r="EN9" s="327" t="e">
        <f t="shared" si="30"/>
        <v>#N/A</v>
      </c>
      <c r="EO9" s="327" t="e">
        <f t="shared" si="30"/>
        <v>#N/A</v>
      </c>
      <c r="EP9" s="327" t="e">
        <f t="shared" si="30"/>
        <v>#N/A</v>
      </c>
      <c r="EQ9" s="327" t="e">
        <f t="shared" si="30"/>
        <v>#N/A</v>
      </c>
      <c r="ER9" s="327" t="e">
        <f t="shared" si="30"/>
        <v>#N/A</v>
      </c>
      <c r="ES9" s="327" t="e">
        <f t="shared" si="30"/>
        <v>#N/A</v>
      </c>
      <c r="ET9" s="327" t="e">
        <f t="shared" si="30"/>
        <v>#N/A</v>
      </c>
      <c r="EU9" s="325" t="e">
        <f t="shared" si="53"/>
        <v>#N/A</v>
      </c>
      <c r="EV9" s="336"/>
      <c r="EW9" s="336"/>
      <c r="EX9" s="336"/>
      <c r="EY9" s="336"/>
      <c r="EZ9" s="336"/>
      <c r="FA9" s="336"/>
      <c r="FB9" s="336"/>
    </row>
    <row r="10" spans="1:158" ht="56" customHeight="1" x14ac:dyDescent="0.3">
      <c r="A10" s="330"/>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7"/>
      <c r="AN10" s="317"/>
      <c r="AO10" s="511" t="e">
        <f t="shared" si="43"/>
        <v>#N/A</v>
      </c>
      <c r="AP10" s="511" t="e">
        <f t="shared" si="44"/>
        <v>#N/A</v>
      </c>
      <c r="AQ10" s="511" t="e">
        <f t="shared" si="45"/>
        <v>#N/A</v>
      </c>
      <c r="AR10" s="511" t="e">
        <f t="shared" si="46"/>
        <v>#N/A</v>
      </c>
      <c r="AS10" s="511" t="e">
        <f>HLOOKUP($C$1,'Inflation Adjustments'!$BI$3:$BT$4,2)*CR10</f>
        <v>#N/A</v>
      </c>
      <c r="AT10" s="511">
        <f>IF(BU10="In Service",'Maintenace Cost Assumptions'!$B$3*AS10,0)</f>
        <v>0</v>
      </c>
      <c r="AU10" s="318"/>
      <c r="AV10" s="318"/>
      <c r="AW10" s="318"/>
      <c r="AX10" s="318"/>
      <c r="AY10" s="318"/>
      <c r="AZ10" s="318"/>
      <c r="BA10" s="318"/>
      <c r="BB10" s="318"/>
      <c r="BC10" s="318"/>
      <c r="BD10" s="318"/>
      <c r="BE10" s="318"/>
      <c r="BF10" s="318"/>
      <c r="BG10" s="332">
        <f>(AU10*'Condition rating weights'!H$8+AV10*'Condition rating weights'!I$8+AW10*'Condition rating weights'!J$8+AX10*'Condition rating weights'!K$8+AY10*'Condition rating weights'!L$8+AZ10*'Condition rating weights'!M$8+BA10*'Condition rating weights'!N$8+BB10*'Condition rating weights'!O$8+BC10*'Condition rating weights'!P$8+BD10*'Condition rating weights'!Q$8+BE10*'Condition rating weights'!R$8+BF10*'Condition rating weights'!S$8)/100</f>
        <v>0</v>
      </c>
      <c r="BH10" s="318"/>
      <c r="BI10" s="333"/>
      <c r="BJ10" s="333"/>
      <c r="BK10" s="333"/>
      <c r="BL10" s="333"/>
      <c r="BM10" s="333"/>
      <c r="BN10" s="333"/>
      <c r="BO10" s="333"/>
      <c r="BP10" s="333"/>
      <c r="BQ10" s="333"/>
      <c r="BR10" s="333"/>
      <c r="BS10" s="333"/>
      <c r="BT10" s="334"/>
      <c r="BU10" s="335"/>
      <c r="BV10" s="255"/>
      <c r="BY10" s="306" t="str">
        <f>'GRC and TUL Assumptions'!A10</f>
        <v>Floor Covering</v>
      </c>
      <c r="BZ10" s="305">
        <f>'GRC and TUL Assumptions'!C10</f>
        <v>100</v>
      </c>
      <c r="CA10" s="305">
        <f>'GRC and TUL Assumptions'!D10</f>
        <v>150</v>
      </c>
      <c r="CB10" s="305">
        <f>'GRC and TUL Assumptions'!E10</f>
        <v>300</v>
      </c>
      <c r="CC10" s="305">
        <v>0</v>
      </c>
      <c r="CD10" s="305">
        <f>'GRC and TUL Assumptions'!F10</f>
        <v>20</v>
      </c>
      <c r="CE10" s="305">
        <f>'GRC and TUL Assumptions'!G10</f>
        <v>30</v>
      </c>
      <c r="CF10" s="305">
        <f>'GRC and TUL Assumptions'!H10</f>
        <v>40</v>
      </c>
      <c r="CG10" s="305">
        <f t="shared" si="47"/>
        <v>20</v>
      </c>
      <c r="CH10" s="323" t="e">
        <f t="shared" si="5"/>
        <v>#N/A</v>
      </c>
      <c r="CI10" s="323" t="e">
        <f t="shared" si="6"/>
        <v>#N/A</v>
      </c>
      <c r="CJ10" s="323" t="e">
        <f t="shared" si="48"/>
        <v>#N/A</v>
      </c>
      <c r="CK10" s="323" t="e">
        <f t="shared" si="7"/>
        <v>#N/A</v>
      </c>
      <c r="CL10" s="323" t="e">
        <f t="shared" si="8"/>
        <v>#N/A</v>
      </c>
      <c r="CM10" s="323" t="e">
        <f t="shared" si="9"/>
        <v>#N/A</v>
      </c>
      <c r="CN10" s="323" t="e">
        <f t="shared" si="10"/>
        <v>#N/A</v>
      </c>
      <c r="CO10" s="323" t="e">
        <f t="shared" si="11"/>
        <v>#N/A</v>
      </c>
      <c r="CP10" s="323" t="e">
        <f t="shared" si="12"/>
        <v>#N/A</v>
      </c>
      <c r="CQ10" s="323" t="e">
        <f t="shared" si="13"/>
        <v>#N/A</v>
      </c>
      <c r="CR10" s="324" t="e">
        <f t="shared" si="49"/>
        <v>#N/A</v>
      </c>
      <c r="CS10" s="325" t="e">
        <f>(HLOOKUP($AI10,'Inflation Adjustments'!$B$3:$BT$4,2,TRUE))*CH10</f>
        <v>#N/A</v>
      </c>
      <c r="CT10" s="325" t="e">
        <f>(HLOOKUP($AI10,'Inflation Adjustments'!$B$3:$BT$4,2,TRUE))*CI10</f>
        <v>#N/A</v>
      </c>
      <c r="CU10" s="325" t="e">
        <f>(HLOOKUP($AI10,'Inflation Adjustments'!$B$3:$BT$4,2,TRUE))*CJ10</f>
        <v>#N/A</v>
      </c>
      <c r="CV10" s="325" t="e">
        <f>(HLOOKUP($AI10,'Inflation Adjustments'!$B$3:$BT$4,2,TRUE))*CK10</f>
        <v>#N/A</v>
      </c>
      <c r="CW10" s="325" t="e">
        <f>(HLOOKUP($AI10,'Inflation Adjustments'!$B$3:$BT$4,2,TRUE))*CL10</f>
        <v>#N/A</v>
      </c>
      <c r="CX10" s="325" t="e">
        <f>(HLOOKUP($AI10,'Inflation Adjustments'!$B$3:$BT$4,2,TRUE))*CM10</f>
        <v>#N/A</v>
      </c>
      <c r="CY10" s="325" t="e">
        <f>(HLOOKUP($AI10,'Inflation Adjustments'!$B$3:$BT$4,2,TRUE))*CN10</f>
        <v>#N/A</v>
      </c>
      <c r="CZ10" s="325" t="e">
        <f>(HLOOKUP($AI10,'Inflation Adjustments'!$B$3:$BT$4,2,TRUE))*CO10</f>
        <v>#N/A</v>
      </c>
      <c r="DA10" s="325" t="e">
        <f>(HLOOKUP($AI10,'Inflation Adjustments'!$B$3:$BT$4,2,TRUE))*CP10</f>
        <v>#N/A</v>
      </c>
      <c r="DB10" s="325" t="e">
        <f>(HLOOKUP($AI10,'Inflation Adjustments'!$B$3:$BT$4,2,TRUE))*CQ10</f>
        <v>#N/A</v>
      </c>
      <c r="DC10" s="325" t="e">
        <f t="shared" si="50"/>
        <v>#N/A</v>
      </c>
      <c r="DD10" s="326">
        <f t="shared" si="14"/>
        <v>2022</v>
      </c>
      <c r="DE10" s="323" t="e">
        <f t="shared" si="15"/>
        <v>#N/A</v>
      </c>
      <c r="DF10" s="323" t="e">
        <f t="shared" si="16"/>
        <v>#N/A</v>
      </c>
      <c r="DG10" s="323" t="e">
        <f t="shared" si="17"/>
        <v>#N/A</v>
      </c>
      <c r="DH10" s="323" t="e">
        <f t="shared" si="18"/>
        <v>#N/A</v>
      </c>
      <c r="DI10" s="323" t="e">
        <f t="shared" si="19"/>
        <v>#N/A</v>
      </c>
      <c r="DJ10" s="323" t="e">
        <f t="shared" si="20"/>
        <v>#N/A</v>
      </c>
      <c r="DK10" s="323" t="e">
        <f t="shared" si="21"/>
        <v>#N/A</v>
      </c>
      <c r="DL10" s="323" t="e">
        <f t="shared" si="22"/>
        <v>#N/A</v>
      </c>
      <c r="DM10" s="323" t="e">
        <f t="shared" si="23"/>
        <v>#N/A</v>
      </c>
      <c r="DN10" s="323" t="e">
        <f t="shared" si="24"/>
        <v>#N/A</v>
      </c>
      <c r="DO10" s="327" t="e">
        <f t="shared" si="25"/>
        <v>#N/A</v>
      </c>
      <c r="DP10" s="327" t="e">
        <f t="shared" si="26"/>
        <v>#N/A</v>
      </c>
      <c r="DQ10" s="327" t="e">
        <f t="shared" si="26"/>
        <v>#N/A</v>
      </c>
      <c r="DR10" s="327" t="e">
        <f t="shared" si="26"/>
        <v>#N/A</v>
      </c>
      <c r="DS10" s="327" t="e">
        <f t="shared" si="26"/>
        <v>#N/A</v>
      </c>
      <c r="DT10" s="327" t="e">
        <f t="shared" si="26"/>
        <v>#N/A</v>
      </c>
      <c r="DU10" s="327" t="e">
        <f t="shared" si="26"/>
        <v>#N/A</v>
      </c>
      <c r="DV10" s="327" t="e">
        <f t="shared" si="26"/>
        <v>#N/A</v>
      </c>
      <c r="DW10" s="327" t="e">
        <f t="shared" si="26"/>
        <v>#N/A</v>
      </c>
      <c r="DX10" s="327" t="e">
        <f t="shared" si="26"/>
        <v>#N/A</v>
      </c>
      <c r="DY10" s="327" t="e">
        <f t="shared" si="51"/>
        <v>#N/A</v>
      </c>
      <c r="DZ10" s="323" t="e">
        <f t="shared" si="27"/>
        <v>#N/A</v>
      </c>
      <c r="EA10" s="323" t="e">
        <f t="shared" si="28"/>
        <v>#N/A</v>
      </c>
      <c r="EB10" s="323" t="e">
        <f t="shared" si="28"/>
        <v>#N/A</v>
      </c>
      <c r="EC10" s="323" t="e">
        <f t="shared" si="28"/>
        <v>#N/A</v>
      </c>
      <c r="ED10" s="323" t="e">
        <f t="shared" si="28"/>
        <v>#N/A</v>
      </c>
      <c r="EE10" s="323" t="e">
        <f t="shared" si="28"/>
        <v>#N/A</v>
      </c>
      <c r="EF10" s="323" t="e">
        <f t="shared" si="28"/>
        <v>#N/A</v>
      </c>
      <c r="EG10" s="323" t="e">
        <f t="shared" si="28"/>
        <v>#N/A</v>
      </c>
      <c r="EH10" s="323" t="e">
        <f t="shared" si="28"/>
        <v>#N/A</v>
      </c>
      <c r="EI10" s="323" t="e">
        <f t="shared" si="28"/>
        <v>#N/A</v>
      </c>
      <c r="EJ10" s="324" t="e">
        <f t="shared" si="52"/>
        <v>#N/A</v>
      </c>
      <c r="EK10" s="327" t="e">
        <f t="shared" si="29"/>
        <v>#N/A</v>
      </c>
      <c r="EL10" s="327" t="e">
        <f t="shared" si="30"/>
        <v>#N/A</v>
      </c>
      <c r="EM10" s="327" t="e">
        <f t="shared" si="30"/>
        <v>#N/A</v>
      </c>
      <c r="EN10" s="327" t="e">
        <f t="shared" si="30"/>
        <v>#N/A</v>
      </c>
      <c r="EO10" s="327" t="e">
        <f t="shared" si="30"/>
        <v>#N/A</v>
      </c>
      <c r="EP10" s="327" t="e">
        <f t="shared" si="30"/>
        <v>#N/A</v>
      </c>
      <c r="EQ10" s="327" t="e">
        <f t="shared" si="30"/>
        <v>#N/A</v>
      </c>
      <c r="ER10" s="327" t="e">
        <f t="shared" si="30"/>
        <v>#N/A</v>
      </c>
      <c r="ES10" s="327" t="e">
        <f t="shared" si="30"/>
        <v>#N/A</v>
      </c>
      <c r="ET10" s="327" t="e">
        <f t="shared" si="30"/>
        <v>#N/A</v>
      </c>
      <c r="EU10" s="325" t="e">
        <f t="shared" si="53"/>
        <v>#N/A</v>
      </c>
      <c r="EV10" s="328">
        <v>2005</v>
      </c>
      <c r="EW10" s="347">
        <v>30000</v>
      </c>
      <c r="EX10" s="328">
        <v>20</v>
      </c>
      <c r="EY10" s="328">
        <f>$C$1-1-EV10</f>
        <v>17</v>
      </c>
      <c r="EZ10" s="323">
        <f>EW10/EX10</f>
        <v>1500</v>
      </c>
      <c r="FA10" s="323">
        <f>IF(EY10*EZ10&lt;EW10,EY10*EZ10,EW10)</f>
        <v>25500</v>
      </c>
      <c r="FB10" s="323">
        <f>IF(EZ10&lt;(EW10-FA10),EZ10,(E48-FA10))</f>
        <v>1500</v>
      </c>
    </row>
    <row r="11" spans="1:158" ht="56" customHeight="1" x14ac:dyDescent="0.3">
      <c r="A11" s="330"/>
      <c r="B11" s="318"/>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7"/>
      <c r="AN11" s="317"/>
      <c r="AO11" s="511" t="e">
        <f t="shared" si="43"/>
        <v>#N/A</v>
      </c>
      <c r="AP11" s="511" t="e">
        <f t="shared" si="44"/>
        <v>#N/A</v>
      </c>
      <c r="AQ11" s="511" t="e">
        <f t="shared" si="45"/>
        <v>#N/A</v>
      </c>
      <c r="AR11" s="511" t="e">
        <f t="shared" si="46"/>
        <v>#N/A</v>
      </c>
      <c r="AS11" s="511" t="e">
        <f>HLOOKUP($C$1,'Inflation Adjustments'!$BI$3:$BT$4,2)*CR11</f>
        <v>#N/A</v>
      </c>
      <c r="AT11" s="511">
        <f>IF(BU11="In Service",'Maintenace Cost Assumptions'!$B$3*AS11,0)</f>
        <v>0</v>
      </c>
      <c r="AU11" s="318"/>
      <c r="AV11" s="318"/>
      <c r="AW11" s="318"/>
      <c r="AX11" s="318"/>
      <c r="AY11" s="318"/>
      <c r="AZ11" s="318"/>
      <c r="BA11" s="318"/>
      <c r="BB11" s="318"/>
      <c r="BC11" s="318"/>
      <c r="BD11" s="318"/>
      <c r="BE11" s="318"/>
      <c r="BF11" s="318"/>
      <c r="BG11" s="332">
        <f>(AU11*'Condition rating weights'!H$8+AV11*'Condition rating weights'!I$8+AW11*'Condition rating weights'!J$8+AX11*'Condition rating weights'!K$8+AY11*'Condition rating weights'!L$8+AZ11*'Condition rating weights'!M$8+BA11*'Condition rating weights'!N$8+BB11*'Condition rating weights'!O$8+BC11*'Condition rating weights'!P$8+BD11*'Condition rating weights'!Q$8+BE11*'Condition rating weights'!R$8+BF11*'Condition rating weights'!S$8)/100</f>
        <v>0</v>
      </c>
      <c r="BH11" s="318"/>
      <c r="BI11" s="333"/>
      <c r="BJ11" s="333"/>
      <c r="BK11" s="333"/>
      <c r="BL11" s="333"/>
      <c r="BM11" s="333"/>
      <c r="BN11" s="333"/>
      <c r="BO11" s="333"/>
      <c r="BP11" s="333"/>
      <c r="BQ11" s="333"/>
      <c r="BR11" s="333"/>
      <c r="BS11" s="333"/>
      <c r="BT11" s="334"/>
      <c r="BU11" s="335"/>
      <c r="BV11" s="255"/>
      <c r="BY11" s="306" t="str">
        <f>'GRC and TUL Assumptions'!A11</f>
        <v>Service Mechanical</v>
      </c>
      <c r="BZ11" s="305">
        <f>'GRC and TUL Assumptions'!C11</f>
        <v>80</v>
      </c>
      <c r="CA11" s="305">
        <f>'GRC and TUL Assumptions'!D11</f>
        <v>100</v>
      </c>
      <c r="CB11" s="305">
        <f>'GRC and TUL Assumptions'!E11</f>
        <v>150</v>
      </c>
      <c r="CC11" s="305">
        <v>0</v>
      </c>
      <c r="CD11" s="305">
        <f>'GRC and TUL Assumptions'!F11</f>
        <v>10</v>
      </c>
      <c r="CE11" s="305">
        <f>'GRC and TUL Assumptions'!G11</f>
        <v>20</v>
      </c>
      <c r="CF11" s="305">
        <f>'GRC and TUL Assumptions'!H11</f>
        <v>30</v>
      </c>
      <c r="CG11" s="305">
        <f t="shared" si="47"/>
        <v>10</v>
      </c>
      <c r="CH11" s="323" t="e">
        <f t="shared" si="5"/>
        <v>#N/A</v>
      </c>
      <c r="CI11" s="323" t="e">
        <f t="shared" si="6"/>
        <v>#N/A</v>
      </c>
      <c r="CJ11" s="323" t="e">
        <f t="shared" si="48"/>
        <v>#N/A</v>
      </c>
      <c r="CK11" s="323" t="e">
        <f t="shared" si="7"/>
        <v>#N/A</v>
      </c>
      <c r="CL11" s="323" t="e">
        <f t="shared" si="8"/>
        <v>#N/A</v>
      </c>
      <c r="CM11" s="323" t="e">
        <f t="shared" si="9"/>
        <v>#N/A</v>
      </c>
      <c r="CN11" s="323" t="e">
        <f t="shared" si="10"/>
        <v>#N/A</v>
      </c>
      <c r="CO11" s="323" t="e">
        <f t="shared" si="11"/>
        <v>#N/A</v>
      </c>
      <c r="CP11" s="323" t="e">
        <f t="shared" si="12"/>
        <v>#N/A</v>
      </c>
      <c r="CQ11" s="323" t="e">
        <f t="shared" si="13"/>
        <v>#N/A</v>
      </c>
      <c r="CR11" s="324" t="e">
        <f t="shared" si="49"/>
        <v>#N/A</v>
      </c>
      <c r="CS11" s="325" t="e">
        <f>(HLOOKUP($AI11,'Inflation Adjustments'!$B$3:$BT$4,2,TRUE))*CH11</f>
        <v>#N/A</v>
      </c>
      <c r="CT11" s="325" t="e">
        <f>(HLOOKUP($AI11,'Inflation Adjustments'!$B$3:$BT$4,2,TRUE))*CI11</f>
        <v>#N/A</v>
      </c>
      <c r="CU11" s="325" t="e">
        <f>(HLOOKUP($AI11,'Inflation Adjustments'!$B$3:$BT$4,2,TRUE))*CJ11</f>
        <v>#N/A</v>
      </c>
      <c r="CV11" s="325" t="e">
        <f>(HLOOKUP($AI11,'Inflation Adjustments'!$B$3:$BT$4,2,TRUE))*CK11</f>
        <v>#N/A</v>
      </c>
      <c r="CW11" s="325" t="e">
        <f>(HLOOKUP($AI11,'Inflation Adjustments'!$B$3:$BT$4,2,TRUE))*CL11</f>
        <v>#N/A</v>
      </c>
      <c r="CX11" s="325" t="e">
        <f>(HLOOKUP($AI11,'Inflation Adjustments'!$B$3:$BT$4,2,TRUE))*CM11</f>
        <v>#N/A</v>
      </c>
      <c r="CY11" s="325" t="e">
        <f>(HLOOKUP($AI11,'Inflation Adjustments'!$B$3:$BT$4,2,TRUE))*CN11</f>
        <v>#N/A</v>
      </c>
      <c r="CZ11" s="325" t="e">
        <f>(HLOOKUP($AI11,'Inflation Adjustments'!$B$3:$BT$4,2,TRUE))*CO11</f>
        <v>#N/A</v>
      </c>
      <c r="DA11" s="325" t="e">
        <f>(HLOOKUP($AI11,'Inflation Adjustments'!$B$3:$BT$4,2,TRUE))*CP11</f>
        <v>#N/A</v>
      </c>
      <c r="DB11" s="325" t="e">
        <f>(HLOOKUP($AI11,'Inflation Adjustments'!$B$3:$BT$4,2,TRUE))*CQ11</f>
        <v>#N/A</v>
      </c>
      <c r="DC11" s="325" t="e">
        <f t="shared" si="50"/>
        <v>#N/A</v>
      </c>
      <c r="DD11" s="326">
        <f t="shared" si="14"/>
        <v>2022</v>
      </c>
      <c r="DE11" s="323" t="e">
        <f t="shared" si="15"/>
        <v>#N/A</v>
      </c>
      <c r="DF11" s="323" t="e">
        <f t="shared" si="16"/>
        <v>#N/A</v>
      </c>
      <c r="DG11" s="323" t="e">
        <f t="shared" si="17"/>
        <v>#N/A</v>
      </c>
      <c r="DH11" s="323" t="e">
        <f t="shared" si="18"/>
        <v>#N/A</v>
      </c>
      <c r="DI11" s="323" t="e">
        <f t="shared" si="19"/>
        <v>#N/A</v>
      </c>
      <c r="DJ11" s="323" t="e">
        <f t="shared" si="20"/>
        <v>#N/A</v>
      </c>
      <c r="DK11" s="323" t="e">
        <f t="shared" si="21"/>
        <v>#N/A</v>
      </c>
      <c r="DL11" s="323" t="e">
        <f t="shared" si="22"/>
        <v>#N/A</v>
      </c>
      <c r="DM11" s="323" t="e">
        <f t="shared" si="23"/>
        <v>#N/A</v>
      </c>
      <c r="DN11" s="323" t="e">
        <f t="shared" si="24"/>
        <v>#N/A</v>
      </c>
      <c r="DO11" s="327" t="e">
        <f t="shared" si="25"/>
        <v>#N/A</v>
      </c>
      <c r="DP11" s="327" t="e">
        <f t="shared" si="26"/>
        <v>#N/A</v>
      </c>
      <c r="DQ11" s="327" t="e">
        <f t="shared" si="26"/>
        <v>#N/A</v>
      </c>
      <c r="DR11" s="327" t="e">
        <f t="shared" si="26"/>
        <v>#N/A</v>
      </c>
      <c r="DS11" s="327" t="e">
        <f t="shared" si="26"/>
        <v>#N/A</v>
      </c>
      <c r="DT11" s="327" t="e">
        <f t="shared" si="26"/>
        <v>#N/A</v>
      </c>
      <c r="DU11" s="327" t="e">
        <f t="shared" si="26"/>
        <v>#N/A</v>
      </c>
      <c r="DV11" s="327" t="e">
        <f t="shared" si="26"/>
        <v>#N/A</v>
      </c>
      <c r="DW11" s="327" t="e">
        <f t="shared" si="26"/>
        <v>#N/A</v>
      </c>
      <c r="DX11" s="327" t="e">
        <f t="shared" si="26"/>
        <v>#N/A</v>
      </c>
      <c r="DY11" s="327" t="e">
        <f t="shared" si="51"/>
        <v>#N/A</v>
      </c>
      <c r="DZ11" s="323" t="e">
        <f t="shared" si="27"/>
        <v>#N/A</v>
      </c>
      <c r="EA11" s="323" t="e">
        <f t="shared" si="28"/>
        <v>#N/A</v>
      </c>
      <c r="EB11" s="323" t="e">
        <f t="shared" si="28"/>
        <v>#N/A</v>
      </c>
      <c r="EC11" s="323" t="e">
        <f t="shared" si="28"/>
        <v>#N/A</v>
      </c>
      <c r="ED11" s="323" t="e">
        <f t="shared" si="28"/>
        <v>#N/A</v>
      </c>
      <c r="EE11" s="323" t="e">
        <f t="shared" si="28"/>
        <v>#N/A</v>
      </c>
      <c r="EF11" s="323" t="e">
        <f t="shared" si="28"/>
        <v>#N/A</v>
      </c>
      <c r="EG11" s="323" t="e">
        <f t="shared" si="28"/>
        <v>#N/A</v>
      </c>
      <c r="EH11" s="323" t="e">
        <f t="shared" si="28"/>
        <v>#N/A</v>
      </c>
      <c r="EI11" s="323" t="e">
        <f t="shared" si="28"/>
        <v>#N/A</v>
      </c>
      <c r="EJ11" s="324" t="e">
        <f t="shared" si="52"/>
        <v>#N/A</v>
      </c>
      <c r="EK11" s="327" t="e">
        <f t="shared" si="29"/>
        <v>#N/A</v>
      </c>
      <c r="EL11" s="327" t="e">
        <f t="shared" si="30"/>
        <v>#N/A</v>
      </c>
      <c r="EM11" s="327" t="e">
        <f t="shared" si="30"/>
        <v>#N/A</v>
      </c>
      <c r="EN11" s="327" t="e">
        <f t="shared" si="30"/>
        <v>#N/A</v>
      </c>
      <c r="EO11" s="327" t="e">
        <f t="shared" si="30"/>
        <v>#N/A</v>
      </c>
      <c r="EP11" s="327" t="e">
        <f t="shared" si="30"/>
        <v>#N/A</v>
      </c>
      <c r="EQ11" s="327" t="e">
        <f t="shared" si="30"/>
        <v>#N/A</v>
      </c>
      <c r="ER11" s="327" t="e">
        <f t="shared" si="30"/>
        <v>#N/A</v>
      </c>
      <c r="ES11" s="327" t="e">
        <f t="shared" si="30"/>
        <v>#N/A</v>
      </c>
      <c r="ET11" s="327" t="e">
        <f t="shared" si="30"/>
        <v>#N/A</v>
      </c>
      <c r="EU11" s="325" t="e">
        <f t="shared" si="53"/>
        <v>#N/A</v>
      </c>
      <c r="EV11" s="336"/>
      <c r="EW11" s="336"/>
      <c r="EX11" s="336"/>
      <c r="EY11" s="336"/>
      <c r="EZ11" s="336"/>
      <c r="FA11" s="336"/>
      <c r="FB11" s="336"/>
    </row>
    <row r="12" spans="1:158" ht="56" customHeight="1" x14ac:dyDescent="0.3">
      <c r="A12" s="330"/>
      <c r="B12" s="318"/>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7"/>
      <c r="AN12" s="317"/>
      <c r="AO12" s="511" t="e">
        <f t="shared" si="43"/>
        <v>#N/A</v>
      </c>
      <c r="AP12" s="511" t="e">
        <f t="shared" si="44"/>
        <v>#N/A</v>
      </c>
      <c r="AQ12" s="511" t="e">
        <f t="shared" si="45"/>
        <v>#N/A</v>
      </c>
      <c r="AR12" s="511" t="e">
        <f t="shared" si="46"/>
        <v>#N/A</v>
      </c>
      <c r="AS12" s="511" t="e">
        <f>HLOOKUP($C$1,'Inflation Adjustments'!$BI$3:$BT$4,2)*CR12</f>
        <v>#N/A</v>
      </c>
      <c r="AT12" s="511">
        <f>IF(BU12="In Service",'Maintenace Cost Assumptions'!$B$3*AS12,0)</f>
        <v>0</v>
      </c>
      <c r="AU12" s="318"/>
      <c r="AV12" s="318"/>
      <c r="AW12" s="318"/>
      <c r="AX12" s="318"/>
      <c r="AY12" s="318"/>
      <c r="AZ12" s="318"/>
      <c r="BA12" s="318"/>
      <c r="BB12" s="318"/>
      <c r="BC12" s="318"/>
      <c r="BD12" s="318"/>
      <c r="BE12" s="318"/>
      <c r="BF12" s="318"/>
      <c r="BG12" s="332">
        <f>(AU12*'Condition rating weights'!H$8+AV12*'Condition rating weights'!I$8+AW12*'Condition rating weights'!J$8+AX12*'Condition rating weights'!K$8+AY12*'Condition rating weights'!L$8+AZ12*'Condition rating weights'!M$8+BA12*'Condition rating weights'!N$8+BB12*'Condition rating weights'!O$8+BC12*'Condition rating weights'!P$8+BD12*'Condition rating weights'!Q$8+BE12*'Condition rating weights'!R$8+BF12*'Condition rating weights'!S$8)/100</f>
        <v>0</v>
      </c>
      <c r="BH12" s="318"/>
      <c r="BI12" s="333"/>
      <c r="BJ12" s="333"/>
      <c r="BK12" s="333"/>
      <c r="BL12" s="333"/>
      <c r="BM12" s="333"/>
      <c r="BN12" s="333"/>
      <c r="BO12" s="333"/>
      <c r="BP12" s="333"/>
      <c r="BQ12" s="333"/>
      <c r="BR12" s="333"/>
      <c r="BS12" s="333"/>
      <c r="BT12" s="334"/>
      <c r="BU12" s="335"/>
      <c r="BV12" s="255"/>
      <c r="BY12" s="306" t="str">
        <f>'GRC and TUL Assumptions'!A12</f>
        <v>Services Electrical</v>
      </c>
      <c r="BZ12" s="305">
        <f>'GRC and TUL Assumptions'!C12</f>
        <v>80</v>
      </c>
      <c r="CA12" s="305">
        <f>'GRC and TUL Assumptions'!D12</f>
        <v>100</v>
      </c>
      <c r="CB12" s="305">
        <f>'GRC and TUL Assumptions'!E12</f>
        <v>150</v>
      </c>
      <c r="CC12" s="305">
        <v>0</v>
      </c>
      <c r="CD12" s="305">
        <f>'GRC and TUL Assumptions'!F12</f>
        <v>20</v>
      </c>
      <c r="CE12" s="305">
        <f>'GRC and TUL Assumptions'!G12</f>
        <v>30</v>
      </c>
      <c r="CF12" s="305">
        <f>'GRC and TUL Assumptions'!H12</f>
        <v>40</v>
      </c>
      <c r="CG12" s="305">
        <f t="shared" si="47"/>
        <v>20</v>
      </c>
      <c r="CH12" s="323" t="e">
        <f t="shared" si="5"/>
        <v>#N/A</v>
      </c>
      <c r="CI12" s="323" t="e">
        <f t="shared" si="6"/>
        <v>#N/A</v>
      </c>
      <c r="CJ12" s="323" t="e">
        <f t="shared" si="48"/>
        <v>#N/A</v>
      </c>
      <c r="CK12" s="323" t="e">
        <f t="shared" si="7"/>
        <v>#N/A</v>
      </c>
      <c r="CL12" s="323" t="e">
        <f t="shared" si="8"/>
        <v>#N/A</v>
      </c>
      <c r="CM12" s="323" t="e">
        <f t="shared" si="9"/>
        <v>#N/A</v>
      </c>
      <c r="CN12" s="323" t="e">
        <f t="shared" si="10"/>
        <v>#N/A</v>
      </c>
      <c r="CO12" s="323" t="e">
        <f t="shared" si="11"/>
        <v>#N/A</v>
      </c>
      <c r="CP12" s="323" t="e">
        <f t="shared" si="12"/>
        <v>#N/A</v>
      </c>
      <c r="CQ12" s="323" t="e">
        <f t="shared" si="13"/>
        <v>#N/A</v>
      </c>
      <c r="CR12" s="324" t="e">
        <f t="shared" si="49"/>
        <v>#N/A</v>
      </c>
      <c r="CS12" s="325" t="e">
        <f>(HLOOKUP($AI12,'Inflation Adjustments'!$B$3:$BT$4,2,TRUE))*CH12</f>
        <v>#N/A</v>
      </c>
      <c r="CT12" s="325" t="e">
        <f>(HLOOKUP($AI12,'Inflation Adjustments'!$B$3:$BT$4,2,TRUE))*CI12</f>
        <v>#N/A</v>
      </c>
      <c r="CU12" s="325" t="e">
        <f>(HLOOKUP($AI12,'Inflation Adjustments'!$B$3:$BT$4,2,TRUE))*CJ12</f>
        <v>#N/A</v>
      </c>
      <c r="CV12" s="325" t="e">
        <f>(HLOOKUP($AI12,'Inflation Adjustments'!$B$3:$BT$4,2,TRUE))*CK12</f>
        <v>#N/A</v>
      </c>
      <c r="CW12" s="325" t="e">
        <f>(HLOOKUP($AI12,'Inflation Adjustments'!$B$3:$BT$4,2,TRUE))*CL12</f>
        <v>#N/A</v>
      </c>
      <c r="CX12" s="325" t="e">
        <f>(HLOOKUP($AI12,'Inflation Adjustments'!$B$3:$BT$4,2,TRUE))*CM12</f>
        <v>#N/A</v>
      </c>
      <c r="CY12" s="325" t="e">
        <f>(HLOOKUP($AI12,'Inflation Adjustments'!$B$3:$BT$4,2,TRUE))*CN12</f>
        <v>#N/A</v>
      </c>
      <c r="CZ12" s="325" t="e">
        <f>(HLOOKUP($AI12,'Inflation Adjustments'!$B$3:$BT$4,2,TRUE))*CO12</f>
        <v>#N/A</v>
      </c>
      <c r="DA12" s="325" t="e">
        <f>(HLOOKUP($AI12,'Inflation Adjustments'!$B$3:$BT$4,2,TRUE))*CP12</f>
        <v>#N/A</v>
      </c>
      <c r="DB12" s="325" t="e">
        <f>(HLOOKUP($AI12,'Inflation Adjustments'!$B$3:$BT$4,2,TRUE))*CQ12</f>
        <v>#N/A</v>
      </c>
      <c r="DC12" s="325" t="e">
        <f t="shared" si="50"/>
        <v>#N/A</v>
      </c>
      <c r="DD12" s="326">
        <f t="shared" si="14"/>
        <v>2022</v>
      </c>
      <c r="DE12" s="323" t="e">
        <f t="shared" si="15"/>
        <v>#N/A</v>
      </c>
      <c r="DF12" s="323" t="e">
        <f t="shared" si="16"/>
        <v>#N/A</v>
      </c>
      <c r="DG12" s="323" t="e">
        <f t="shared" si="17"/>
        <v>#N/A</v>
      </c>
      <c r="DH12" s="323" t="e">
        <f t="shared" si="18"/>
        <v>#N/A</v>
      </c>
      <c r="DI12" s="323" t="e">
        <f t="shared" si="19"/>
        <v>#N/A</v>
      </c>
      <c r="DJ12" s="323" t="e">
        <f t="shared" si="20"/>
        <v>#N/A</v>
      </c>
      <c r="DK12" s="323" t="e">
        <f t="shared" si="21"/>
        <v>#N/A</v>
      </c>
      <c r="DL12" s="323" t="e">
        <f t="shared" si="22"/>
        <v>#N/A</v>
      </c>
      <c r="DM12" s="323" t="e">
        <f t="shared" si="23"/>
        <v>#N/A</v>
      </c>
      <c r="DN12" s="323" t="e">
        <f t="shared" si="24"/>
        <v>#N/A</v>
      </c>
      <c r="DO12" s="327" t="e">
        <f t="shared" si="25"/>
        <v>#N/A</v>
      </c>
      <c r="DP12" s="327" t="e">
        <f t="shared" si="26"/>
        <v>#N/A</v>
      </c>
      <c r="DQ12" s="327" t="e">
        <f t="shared" si="26"/>
        <v>#N/A</v>
      </c>
      <c r="DR12" s="327" t="e">
        <f t="shared" si="26"/>
        <v>#N/A</v>
      </c>
      <c r="DS12" s="327" t="e">
        <f t="shared" si="26"/>
        <v>#N/A</v>
      </c>
      <c r="DT12" s="327" t="e">
        <f t="shared" si="26"/>
        <v>#N/A</v>
      </c>
      <c r="DU12" s="327" t="e">
        <f t="shared" si="26"/>
        <v>#N/A</v>
      </c>
      <c r="DV12" s="327" t="e">
        <f t="shared" si="26"/>
        <v>#N/A</v>
      </c>
      <c r="DW12" s="327" t="e">
        <f t="shared" si="26"/>
        <v>#N/A</v>
      </c>
      <c r="DX12" s="327" t="e">
        <f t="shared" si="26"/>
        <v>#N/A</v>
      </c>
      <c r="DY12" s="327" t="e">
        <f t="shared" si="51"/>
        <v>#N/A</v>
      </c>
      <c r="DZ12" s="323" t="e">
        <f t="shared" si="27"/>
        <v>#N/A</v>
      </c>
      <c r="EA12" s="323" t="e">
        <f t="shared" si="28"/>
        <v>#N/A</v>
      </c>
      <c r="EB12" s="323" t="e">
        <f t="shared" si="28"/>
        <v>#N/A</v>
      </c>
      <c r="EC12" s="323" t="e">
        <f t="shared" si="28"/>
        <v>#N/A</v>
      </c>
      <c r="ED12" s="323" t="e">
        <f t="shared" si="28"/>
        <v>#N/A</v>
      </c>
      <c r="EE12" s="323" t="e">
        <f t="shared" si="28"/>
        <v>#N/A</v>
      </c>
      <c r="EF12" s="323" t="e">
        <f t="shared" si="28"/>
        <v>#N/A</v>
      </c>
      <c r="EG12" s="323" t="e">
        <f t="shared" si="28"/>
        <v>#N/A</v>
      </c>
      <c r="EH12" s="323" t="e">
        <f t="shared" si="28"/>
        <v>#N/A</v>
      </c>
      <c r="EI12" s="323" t="e">
        <f t="shared" si="28"/>
        <v>#N/A</v>
      </c>
      <c r="EJ12" s="324" t="e">
        <f t="shared" si="52"/>
        <v>#N/A</v>
      </c>
      <c r="EK12" s="327" t="e">
        <f t="shared" si="29"/>
        <v>#N/A</v>
      </c>
      <c r="EL12" s="327" t="e">
        <f t="shared" si="30"/>
        <v>#N/A</v>
      </c>
      <c r="EM12" s="327" t="e">
        <f t="shared" si="30"/>
        <v>#N/A</v>
      </c>
      <c r="EN12" s="327" t="e">
        <f t="shared" si="30"/>
        <v>#N/A</v>
      </c>
      <c r="EO12" s="327" t="e">
        <f t="shared" si="30"/>
        <v>#N/A</v>
      </c>
      <c r="EP12" s="327" t="e">
        <f t="shared" si="30"/>
        <v>#N/A</v>
      </c>
      <c r="EQ12" s="327" t="e">
        <f t="shared" si="30"/>
        <v>#N/A</v>
      </c>
      <c r="ER12" s="327" t="e">
        <f t="shared" si="30"/>
        <v>#N/A</v>
      </c>
      <c r="ES12" s="327" t="e">
        <f t="shared" si="30"/>
        <v>#N/A</v>
      </c>
      <c r="ET12" s="327" t="e">
        <f t="shared" si="30"/>
        <v>#N/A</v>
      </c>
      <c r="EU12" s="325" t="e">
        <f t="shared" si="53"/>
        <v>#N/A</v>
      </c>
      <c r="EV12" s="336"/>
      <c r="EW12" s="336"/>
      <c r="EX12" s="336"/>
      <c r="EY12" s="336"/>
      <c r="EZ12" s="336"/>
      <c r="FA12" s="336"/>
      <c r="FB12" s="336"/>
    </row>
    <row r="13" spans="1:158" ht="64" customHeight="1" x14ac:dyDescent="0.3">
      <c r="A13" s="330"/>
      <c r="B13" s="318"/>
      <c r="C13" s="318"/>
      <c r="D13" s="318"/>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7"/>
      <c r="AN13" s="317"/>
      <c r="AO13" s="511" t="e">
        <f t="shared" si="43"/>
        <v>#N/A</v>
      </c>
      <c r="AP13" s="511" t="e">
        <f t="shared" si="44"/>
        <v>#N/A</v>
      </c>
      <c r="AQ13" s="511" t="e">
        <f t="shared" si="45"/>
        <v>#N/A</v>
      </c>
      <c r="AR13" s="511" t="e">
        <f t="shared" si="46"/>
        <v>#N/A</v>
      </c>
      <c r="AS13" s="511" t="e">
        <f>HLOOKUP($C$1,'Inflation Adjustments'!$BI$3:$BT$4,2)*CR13</f>
        <v>#N/A</v>
      </c>
      <c r="AT13" s="511">
        <f>IF(BU13="In Service",'Maintenace Cost Assumptions'!$B$3*AS13,0)</f>
        <v>0</v>
      </c>
      <c r="AU13" s="318"/>
      <c r="AV13" s="318"/>
      <c r="AW13" s="318"/>
      <c r="AX13" s="318"/>
      <c r="AY13" s="318"/>
      <c r="AZ13" s="318"/>
      <c r="BA13" s="318"/>
      <c r="BB13" s="318"/>
      <c r="BC13" s="318"/>
      <c r="BD13" s="318"/>
      <c r="BE13" s="318"/>
      <c r="BF13" s="318"/>
      <c r="BG13" s="332">
        <f>(AU13*'Condition rating weights'!H$8+AV13*'Condition rating weights'!I$8+AW13*'Condition rating weights'!J$8+AX13*'Condition rating weights'!K$8+AY13*'Condition rating weights'!L$8+AZ13*'Condition rating weights'!M$8+BA13*'Condition rating weights'!N$8+BB13*'Condition rating weights'!O$8+BC13*'Condition rating weights'!P$8+BD13*'Condition rating weights'!Q$8+BE13*'Condition rating weights'!R$8+BF13*'Condition rating weights'!S$8)/100</f>
        <v>0</v>
      </c>
      <c r="BH13" s="318"/>
      <c r="BI13" s="333"/>
      <c r="BJ13" s="333"/>
      <c r="BK13" s="333"/>
      <c r="BL13" s="333"/>
      <c r="BM13" s="333"/>
      <c r="BN13" s="333"/>
      <c r="BO13" s="333"/>
      <c r="BP13" s="333"/>
      <c r="BQ13" s="333"/>
      <c r="BR13" s="333"/>
      <c r="BS13" s="333"/>
      <c r="BT13" s="334"/>
      <c r="BU13" s="335"/>
      <c r="BV13" s="255"/>
      <c r="BY13" s="306" t="str">
        <f>'GRC and TUL Assumptions'!A13</f>
        <v>Services Sanitation</v>
      </c>
      <c r="BZ13" s="305">
        <f>'GRC and TUL Assumptions'!C13</f>
        <v>100</v>
      </c>
      <c r="CA13" s="305">
        <f>'GRC and TUL Assumptions'!D13</f>
        <v>130</v>
      </c>
      <c r="CB13" s="305">
        <f>'GRC and TUL Assumptions'!E13</f>
        <v>150</v>
      </c>
      <c r="CC13" s="305">
        <v>0</v>
      </c>
      <c r="CD13" s="305">
        <f>'GRC and TUL Assumptions'!F13</f>
        <v>20</v>
      </c>
      <c r="CE13" s="305">
        <f>'GRC and TUL Assumptions'!G13</f>
        <v>30</v>
      </c>
      <c r="CF13" s="305">
        <f>'GRC and TUL Assumptions'!H13</f>
        <v>40</v>
      </c>
      <c r="CG13" s="305">
        <f t="shared" si="47"/>
        <v>20</v>
      </c>
      <c r="CH13" s="323" t="e">
        <f t="shared" si="5"/>
        <v>#N/A</v>
      </c>
      <c r="CI13" s="323" t="e">
        <f t="shared" si="6"/>
        <v>#N/A</v>
      </c>
      <c r="CJ13" s="323" t="e">
        <f t="shared" si="48"/>
        <v>#N/A</v>
      </c>
      <c r="CK13" s="323" t="e">
        <f t="shared" si="7"/>
        <v>#N/A</v>
      </c>
      <c r="CL13" s="323" t="e">
        <f t="shared" si="8"/>
        <v>#N/A</v>
      </c>
      <c r="CM13" s="323" t="e">
        <f t="shared" si="9"/>
        <v>#N/A</v>
      </c>
      <c r="CN13" s="323" t="e">
        <f t="shared" si="10"/>
        <v>#N/A</v>
      </c>
      <c r="CO13" s="323" t="e">
        <f t="shared" si="11"/>
        <v>#N/A</v>
      </c>
      <c r="CP13" s="323" t="e">
        <f t="shared" si="12"/>
        <v>#N/A</v>
      </c>
      <c r="CQ13" s="323" t="e">
        <f t="shared" si="13"/>
        <v>#N/A</v>
      </c>
      <c r="CR13" s="324" t="e">
        <f t="shared" si="49"/>
        <v>#N/A</v>
      </c>
      <c r="CS13" s="325" t="e">
        <f>(HLOOKUP($AI13,'Inflation Adjustments'!$B$3:$BT$4,2,TRUE))*CH13</f>
        <v>#N/A</v>
      </c>
      <c r="CT13" s="325" t="e">
        <f>(HLOOKUP($AI13,'Inflation Adjustments'!$B$3:$BT$4,2,TRUE))*CI13</f>
        <v>#N/A</v>
      </c>
      <c r="CU13" s="325" t="e">
        <f>(HLOOKUP($AI13,'Inflation Adjustments'!$B$3:$BT$4,2,TRUE))*CJ13</f>
        <v>#N/A</v>
      </c>
      <c r="CV13" s="325" t="e">
        <f>(HLOOKUP($AI13,'Inflation Adjustments'!$B$3:$BT$4,2,TRUE))*CK13</f>
        <v>#N/A</v>
      </c>
      <c r="CW13" s="325" t="e">
        <f>(HLOOKUP($AI13,'Inflation Adjustments'!$B$3:$BT$4,2,TRUE))*CL13</f>
        <v>#N/A</v>
      </c>
      <c r="CX13" s="325" t="e">
        <f>(HLOOKUP($AI13,'Inflation Adjustments'!$B$3:$BT$4,2,TRUE))*CM13</f>
        <v>#N/A</v>
      </c>
      <c r="CY13" s="325" t="e">
        <f>(HLOOKUP($AI13,'Inflation Adjustments'!$B$3:$BT$4,2,TRUE))*CN13</f>
        <v>#N/A</v>
      </c>
      <c r="CZ13" s="325" t="e">
        <f>(HLOOKUP($AI13,'Inflation Adjustments'!$B$3:$BT$4,2,TRUE))*CO13</f>
        <v>#N/A</v>
      </c>
      <c r="DA13" s="325" t="e">
        <f>(HLOOKUP($AI13,'Inflation Adjustments'!$B$3:$BT$4,2,TRUE))*CP13</f>
        <v>#N/A</v>
      </c>
      <c r="DB13" s="325" t="e">
        <f>(HLOOKUP($AI13,'Inflation Adjustments'!$B$3:$BT$4,2,TRUE))*CQ13</f>
        <v>#N/A</v>
      </c>
      <c r="DC13" s="325" t="e">
        <f t="shared" si="50"/>
        <v>#N/A</v>
      </c>
      <c r="DD13" s="326">
        <f t="shared" si="14"/>
        <v>2022</v>
      </c>
      <c r="DE13" s="323" t="e">
        <f t="shared" si="15"/>
        <v>#N/A</v>
      </c>
      <c r="DF13" s="323" t="e">
        <f t="shared" si="16"/>
        <v>#N/A</v>
      </c>
      <c r="DG13" s="323" t="e">
        <f t="shared" si="17"/>
        <v>#N/A</v>
      </c>
      <c r="DH13" s="323" t="e">
        <f t="shared" si="18"/>
        <v>#N/A</v>
      </c>
      <c r="DI13" s="323" t="e">
        <f t="shared" si="19"/>
        <v>#N/A</v>
      </c>
      <c r="DJ13" s="323" t="e">
        <f t="shared" si="20"/>
        <v>#N/A</v>
      </c>
      <c r="DK13" s="323" t="e">
        <f t="shared" si="21"/>
        <v>#N/A</v>
      </c>
      <c r="DL13" s="323" t="e">
        <f t="shared" si="22"/>
        <v>#N/A</v>
      </c>
      <c r="DM13" s="323" t="e">
        <f t="shared" si="23"/>
        <v>#N/A</v>
      </c>
      <c r="DN13" s="323" t="e">
        <f t="shared" si="24"/>
        <v>#N/A</v>
      </c>
      <c r="DO13" s="327" t="e">
        <f t="shared" si="25"/>
        <v>#N/A</v>
      </c>
      <c r="DP13" s="327" t="e">
        <f t="shared" si="26"/>
        <v>#N/A</v>
      </c>
      <c r="DQ13" s="327" t="e">
        <f t="shared" si="26"/>
        <v>#N/A</v>
      </c>
      <c r="DR13" s="327" t="e">
        <f t="shared" si="26"/>
        <v>#N/A</v>
      </c>
      <c r="DS13" s="327" t="e">
        <f t="shared" si="26"/>
        <v>#N/A</v>
      </c>
      <c r="DT13" s="327" t="e">
        <f t="shared" si="26"/>
        <v>#N/A</v>
      </c>
      <c r="DU13" s="327" t="e">
        <f t="shared" si="26"/>
        <v>#N/A</v>
      </c>
      <c r="DV13" s="327" t="e">
        <f t="shared" si="26"/>
        <v>#N/A</v>
      </c>
      <c r="DW13" s="327" t="e">
        <f t="shared" si="26"/>
        <v>#N/A</v>
      </c>
      <c r="DX13" s="327" t="e">
        <f t="shared" si="26"/>
        <v>#N/A</v>
      </c>
      <c r="DY13" s="327" t="e">
        <f t="shared" si="51"/>
        <v>#N/A</v>
      </c>
      <c r="DZ13" s="323" t="e">
        <f t="shared" si="27"/>
        <v>#N/A</v>
      </c>
      <c r="EA13" s="323" t="e">
        <f t="shared" si="28"/>
        <v>#N/A</v>
      </c>
      <c r="EB13" s="323" t="e">
        <f t="shared" si="28"/>
        <v>#N/A</v>
      </c>
      <c r="EC13" s="323" t="e">
        <f t="shared" si="28"/>
        <v>#N/A</v>
      </c>
      <c r="ED13" s="323" t="e">
        <f t="shared" si="28"/>
        <v>#N/A</v>
      </c>
      <c r="EE13" s="323" t="e">
        <f t="shared" si="28"/>
        <v>#N/A</v>
      </c>
      <c r="EF13" s="323" t="e">
        <f t="shared" si="28"/>
        <v>#N/A</v>
      </c>
      <c r="EG13" s="323" t="e">
        <f t="shared" si="28"/>
        <v>#N/A</v>
      </c>
      <c r="EH13" s="323" t="e">
        <f t="shared" si="28"/>
        <v>#N/A</v>
      </c>
      <c r="EI13" s="323" t="e">
        <f t="shared" si="28"/>
        <v>#N/A</v>
      </c>
      <c r="EJ13" s="324" t="e">
        <f t="shared" si="52"/>
        <v>#N/A</v>
      </c>
      <c r="EK13" s="327" t="e">
        <f t="shared" si="29"/>
        <v>#N/A</v>
      </c>
      <c r="EL13" s="327" t="e">
        <f t="shared" si="30"/>
        <v>#N/A</v>
      </c>
      <c r="EM13" s="327" t="e">
        <f t="shared" si="30"/>
        <v>#N/A</v>
      </c>
      <c r="EN13" s="327" t="e">
        <f t="shared" si="30"/>
        <v>#N/A</v>
      </c>
      <c r="EO13" s="327" t="e">
        <f t="shared" si="30"/>
        <v>#N/A</v>
      </c>
      <c r="EP13" s="327" t="e">
        <f t="shared" si="30"/>
        <v>#N/A</v>
      </c>
      <c r="EQ13" s="327" t="e">
        <f t="shared" si="30"/>
        <v>#N/A</v>
      </c>
      <c r="ER13" s="327" t="e">
        <f t="shared" si="30"/>
        <v>#N/A</v>
      </c>
      <c r="ES13" s="327" t="e">
        <f t="shared" si="30"/>
        <v>#N/A</v>
      </c>
      <c r="ET13" s="327" t="e">
        <f t="shared" si="30"/>
        <v>#N/A</v>
      </c>
      <c r="EU13" s="325" t="e">
        <f t="shared" si="53"/>
        <v>#N/A</v>
      </c>
      <c r="EV13" s="336"/>
      <c r="EW13" s="336"/>
      <c r="EX13" s="336"/>
      <c r="EY13" s="336"/>
      <c r="EZ13" s="336"/>
      <c r="FA13" s="336"/>
      <c r="FB13" s="336"/>
    </row>
    <row r="14" spans="1:158" ht="66.5" customHeight="1" x14ac:dyDescent="0.3">
      <c r="A14" s="330"/>
      <c r="B14" s="318"/>
      <c r="C14" s="318"/>
      <c r="D14" s="318"/>
      <c r="E14" s="318"/>
      <c r="F14" s="318"/>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7"/>
      <c r="AN14" s="317"/>
      <c r="AO14" s="511" t="e">
        <f t="shared" si="43"/>
        <v>#N/A</v>
      </c>
      <c r="AP14" s="511" t="e">
        <f t="shared" si="44"/>
        <v>#N/A</v>
      </c>
      <c r="AQ14" s="511" t="e">
        <f t="shared" si="45"/>
        <v>#N/A</v>
      </c>
      <c r="AR14" s="511" t="e">
        <f t="shared" si="46"/>
        <v>#N/A</v>
      </c>
      <c r="AS14" s="511" t="e">
        <f>HLOOKUP($C$1,'Inflation Adjustments'!$BI$3:$BT$4,2)*CR14</f>
        <v>#N/A</v>
      </c>
      <c r="AT14" s="511">
        <f>IF(BU14="In Service",'Maintenace Cost Assumptions'!$B$3*AS14,0)</f>
        <v>0</v>
      </c>
      <c r="AU14" s="318"/>
      <c r="AV14" s="318"/>
      <c r="AW14" s="318"/>
      <c r="AX14" s="318"/>
      <c r="AY14" s="318"/>
      <c r="AZ14" s="318"/>
      <c r="BA14" s="318"/>
      <c r="BB14" s="318"/>
      <c r="BC14" s="318"/>
      <c r="BD14" s="318"/>
      <c r="BE14" s="318"/>
      <c r="BF14" s="318"/>
      <c r="BG14" s="332">
        <f>(AU14*'Condition rating weights'!H$8+AV14*'Condition rating weights'!I$8+AW14*'Condition rating weights'!J$8+AX14*'Condition rating weights'!K$8+AY14*'Condition rating weights'!L$8+AZ14*'Condition rating weights'!M$8+BA14*'Condition rating weights'!N$8+BB14*'Condition rating weights'!O$8+BC14*'Condition rating weights'!P$8+BD14*'Condition rating weights'!Q$8+BE14*'Condition rating weights'!R$8+BF14*'Condition rating weights'!S$8)/100</f>
        <v>0</v>
      </c>
      <c r="BH14" s="318"/>
      <c r="BI14" s="333"/>
      <c r="BJ14" s="333"/>
      <c r="BK14" s="333"/>
      <c r="BL14" s="333"/>
      <c r="BM14" s="333"/>
      <c r="BN14" s="333"/>
      <c r="BO14" s="333"/>
      <c r="BP14" s="333"/>
      <c r="BQ14" s="333"/>
      <c r="BR14" s="333"/>
      <c r="BS14" s="333"/>
      <c r="BT14" s="334"/>
      <c r="BU14" s="335"/>
      <c r="BV14" s="255"/>
      <c r="BY14" s="306" t="str">
        <f>'GRC and TUL Assumptions'!A14</f>
        <v>Services Water</v>
      </c>
      <c r="BZ14" s="305">
        <f>'GRC and TUL Assumptions'!C14</f>
        <v>20</v>
      </c>
      <c r="CA14" s="305">
        <f>'GRC and TUL Assumptions'!D14</f>
        <v>40</v>
      </c>
      <c r="CB14" s="305">
        <f>'GRC and TUL Assumptions'!E14</f>
        <v>70</v>
      </c>
      <c r="CC14" s="305">
        <v>0</v>
      </c>
      <c r="CD14" s="305">
        <f>'GRC and TUL Assumptions'!F14</f>
        <v>20</v>
      </c>
      <c r="CE14" s="305">
        <f>'GRC and TUL Assumptions'!G14</f>
        <v>30</v>
      </c>
      <c r="CF14" s="305">
        <f>'GRC and TUL Assumptions'!H14</f>
        <v>40</v>
      </c>
      <c r="CG14" s="305">
        <f t="shared" si="47"/>
        <v>20</v>
      </c>
      <c r="CH14" s="323" t="e">
        <f t="shared" si="5"/>
        <v>#N/A</v>
      </c>
      <c r="CI14" s="323" t="e">
        <f t="shared" si="6"/>
        <v>#N/A</v>
      </c>
      <c r="CJ14" s="323" t="e">
        <f t="shared" si="48"/>
        <v>#N/A</v>
      </c>
      <c r="CK14" s="323" t="e">
        <f t="shared" si="7"/>
        <v>#N/A</v>
      </c>
      <c r="CL14" s="323" t="e">
        <f t="shared" si="8"/>
        <v>#N/A</v>
      </c>
      <c r="CM14" s="323" t="e">
        <f t="shared" si="9"/>
        <v>#N/A</v>
      </c>
      <c r="CN14" s="323" t="e">
        <f t="shared" si="10"/>
        <v>#N/A</v>
      </c>
      <c r="CO14" s="323" t="e">
        <f t="shared" si="11"/>
        <v>#N/A</v>
      </c>
      <c r="CP14" s="323" t="e">
        <f t="shared" si="12"/>
        <v>#N/A</v>
      </c>
      <c r="CQ14" s="323" t="e">
        <f t="shared" si="13"/>
        <v>#N/A</v>
      </c>
      <c r="CR14" s="324" t="e">
        <f t="shared" si="49"/>
        <v>#N/A</v>
      </c>
      <c r="CS14" s="325" t="e">
        <f>(HLOOKUP($AI14,'Inflation Adjustments'!$B$3:$BT$4,2,TRUE))*CH14</f>
        <v>#N/A</v>
      </c>
      <c r="CT14" s="325" t="e">
        <f>(HLOOKUP($AI14,'Inflation Adjustments'!$B$3:$BT$4,2,TRUE))*CI14</f>
        <v>#N/A</v>
      </c>
      <c r="CU14" s="325" t="e">
        <f>(HLOOKUP($AI14,'Inflation Adjustments'!$B$3:$BT$4,2,TRUE))*CJ14</f>
        <v>#N/A</v>
      </c>
      <c r="CV14" s="325" t="e">
        <f>(HLOOKUP($AI14,'Inflation Adjustments'!$B$3:$BT$4,2,TRUE))*CK14</f>
        <v>#N/A</v>
      </c>
      <c r="CW14" s="325" t="e">
        <f>(HLOOKUP($AI14,'Inflation Adjustments'!$B$3:$BT$4,2,TRUE))*CL14</f>
        <v>#N/A</v>
      </c>
      <c r="CX14" s="325" t="e">
        <f>(HLOOKUP($AI14,'Inflation Adjustments'!$B$3:$BT$4,2,TRUE))*CM14</f>
        <v>#N/A</v>
      </c>
      <c r="CY14" s="325" t="e">
        <f>(HLOOKUP($AI14,'Inflation Adjustments'!$B$3:$BT$4,2,TRUE))*CN14</f>
        <v>#N/A</v>
      </c>
      <c r="CZ14" s="325" t="e">
        <f>(HLOOKUP($AI14,'Inflation Adjustments'!$B$3:$BT$4,2,TRUE))*CO14</f>
        <v>#N/A</v>
      </c>
      <c r="DA14" s="325" t="e">
        <f>(HLOOKUP($AI14,'Inflation Adjustments'!$B$3:$BT$4,2,TRUE))*CP14</f>
        <v>#N/A</v>
      </c>
      <c r="DB14" s="325" t="e">
        <f>(HLOOKUP($AI14,'Inflation Adjustments'!$B$3:$BT$4,2,TRUE))*CQ14</f>
        <v>#N/A</v>
      </c>
      <c r="DC14" s="325" t="e">
        <f t="shared" si="50"/>
        <v>#N/A</v>
      </c>
      <c r="DD14" s="326">
        <f t="shared" si="14"/>
        <v>2022</v>
      </c>
      <c r="DE14" s="323" t="e">
        <f t="shared" si="15"/>
        <v>#N/A</v>
      </c>
      <c r="DF14" s="323" t="e">
        <f t="shared" si="16"/>
        <v>#N/A</v>
      </c>
      <c r="DG14" s="323" t="e">
        <f t="shared" si="17"/>
        <v>#N/A</v>
      </c>
      <c r="DH14" s="323" t="e">
        <f t="shared" si="18"/>
        <v>#N/A</v>
      </c>
      <c r="DI14" s="323" t="e">
        <f t="shared" si="19"/>
        <v>#N/A</v>
      </c>
      <c r="DJ14" s="323" t="e">
        <f t="shared" si="20"/>
        <v>#N/A</v>
      </c>
      <c r="DK14" s="323" t="e">
        <f t="shared" si="21"/>
        <v>#N/A</v>
      </c>
      <c r="DL14" s="323" t="e">
        <f t="shared" si="22"/>
        <v>#N/A</v>
      </c>
      <c r="DM14" s="323" t="e">
        <f t="shared" si="23"/>
        <v>#N/A</v>
      </c>
      <c r="DN14" s="323" t="e">
        <f t="shared" si="24"/>
        <v>#N/A</v>
      </c>
      <c r="DO14" s="327" t="e">
        <f t="shared" si="25"/>
        <v>#N/A</v>
      </c>
      <c r="DP14" s="327" t="e">
        <f t="shared" si="26"/>
        <v>#N/A</v>
      </c>
      <c r="DQ14" s="327" t="e">
        <f t="shared" si="26"/>
        <v>#N/A</v>
      </c>
      <c r="DR14" s="327" t="e">
        <f t="shared" si="26"/>
        <v>#N/A</v>
      </c>
      <c r="DS14" s="327" t="e">
        <f t="shared" si="26"/>
        <v>#N/A</v>
      </c>
      <c r="DT14" s="327" t="e">
        <f t="shared" si="26"/>
        <v>#N/A</v>
      </c>
      <c r="DU14" s="327" t="e">
        <f t="shared" si="26"/>
        <v>#N/A</v>
      </c>
      <c r="DV14" s="327" t="e">
        <f t="shared" si="26"/>
        <v>#N/A</v>
      </c>
      <c r="DW14" s="327" t="e">
        <f t="shared" si="26"/>
        <v>#N/A</v>
      </c>
      <c r="DX14" s="327" t="e">
        <f t="shared" si="26"/>
        <v>#N/A</v>
      </c>
      <c r="DY14" s="327" t="e">
        <f t="shared" si="51"/>
        <v>#N/A</v>
      </c>
      <c r="DZ14" s="323" t="e">
        <f t="shared" si="27"/>
        <v>#N/A</v>
      </c>
      <c r="EA14" s="323" t="e">
        <f t="shared" si="28"/>
        <v>#N/A</v>
      </c>
      <c r="EB14" s="323" t="e">
        <f t="shared" si="28"/>
        <v>#N/A</v>
      </c>
      <c r="EC14" s="323" t="e">
        <f t="shared" si="28"/>
        <v>#N/A</v>
      </c>
      <c r="ED14" s="323" t="e">
        <f t="shared" si="28"/>
        <v>#N/A</v>
      </c>
      <c r="EE14" s="323" t="e">
        <f t="shared" si="28"/>
        <v>#N/A</v>
      </c>
      <c r="EF14" s="323" t="e">
        <f t="shared" si="28"/>
        <v>#N/A</v>
      </c>
      <c r="EG14" s="323" t="e">
        <f t="shared" si="28"/>
        <v>#N/A</v>
      </c>
      <c r="EH14" s="323" t="e">
        <f t="shared" si="28"/>
        <v>#N/A</v>
      </c>
      <c r="EI14" s="323" t="e">
        <f t="shared" si="28"/>
        <v>#N/A</v>
      </c>
      <c r="EJ14" s="324" t="e">
        <f t="shared" si="52"/>
        <v>#N/A</v>
      </c>
      <c r="EK14" s="327" t="e">
        <f t="shared" si="29"/>
        <v>#N/A</v>
      </c>
      <c r="EL14" s="327" t="e">
        <f t="shared" si="30"/>
        <v>#N/A</v>
      </c>
      <c r="EM14" s="327" t="e">
        <f t="shared" si="30"/>
        <v>#N/A</v>
      </c>
      <c r="EN14" s="327" t="e">
        <f t="shared" si="30"/>
        <v>#N/A</v>
      </c>
      <c r="EO14" s="327" t="e">
        <f t="shared" si="30"/>
        <v>#N/A</v>
      </c>
      <c r="EP14" s="327" t="e">
        <f t="shared" si="30"/>
        <v>#N/A</v>
      </c>
      <c r="EQ14" s="327" t="e">
        <f t="shared" si="30"/>
        <v>#N/A</v>
      </c>
      <c r="ER14" s="327" t="e">
        <f t="shared" si="30"/>
        <v>#N/A</v>
      </c>
      <c r="ES14" s="327" t="e">
        <f t="shared" si="30"/>
        <v>#N/A</v>
      </c>
      <c r="ET14" s="327" t="e">
        <f t="shared" si="30"/>
        <v>#N/A</v>
      </c>
      <c r="EU14" s="325" t="e">
        <f t="shared" si="53"/>
        <v>#N/A</v>
      </c>
      <c r="EV14" s="336"/>
      <c r="EW14" s="336"/>
      <c r="EX14" s="336"/>
      <c r="EY14" s="336"/>
      <c r="EZ14" s="336"/>
      <c r="FA14" s="336"/>
      <c r="FB14" s="336"/>
    </row>
    <row r="15" spans="1:158" ht="56.5" customHeight="1" x14ac:dyDescent="0.3">
      <c r="A15" s="330"/>
      <c r="B15" s="318"/>
      <c r="C15" s="318"/>
      <c r="D15" s="318"/>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7"/>
      <c r="AN15" s="317"/>
      <c r="AO15" s="511" t="e">
        <f t="shared" si="43"/>
        <v>#N/A</v>
      </c>
      <c r="AP15" s="511" t="e">
        <f t="shared" si="44"/>
        <v>#N/A</v>
      </c>
      <c r="AQ15" s="511" t="e">
        <f t="shared" si="45"/>
        <v>#N/A</v>
      </c>
      <c r="AR15" s="511" t="e">
        <f t="shared" si="46"/>
        <v>#N/A</v>
      </c>
      <c r="AS15" s="511" t="e">
        <f>HLOOKUP($C$1,'Inflation Adjustments'!$BI$3:$BT$4,2)*CR15</f>
        <v>#N/A</v>
      </c>
      <c r="AT15" s="511">
        <f>IF(BU15="In Service",'Maintenace Cost Assumptions'!$B$3*AS15,0)</f>
        <v>0</v>
      </c>
      <c r="AU15" s="318"/>
      <c r="AV15" s="318"/>
      <c r="AW15" s="318"/>
      <c r="AX15" s="318"/>
      <c r="AY15" s="318"/>
      <c r="AZ15" s="318"/>
      <c r="BA15" s="318"/>
      <c r="BB15" s="318"/>
      <c r="BC15" s="318"/>
      <c r="BD15" s="318"/>
      <c r="BE15" s="318"/>
      <c r="BF15" s="318"/>
      <c r="BG15" s="332">
        <f>(AU15*'Condition rating weights'!H$8+AV15*'Condition rating weights'!I$8+AW15*'Condition rating weights'!J$8+AX15*'Condition rating weights'!K$8+AY15*'Condition rating weights'!L$8+AZ15*'Condition rating weights'!M$8+BA15*'Condition rating weights'!N$8+BB15*'Condition rating weights'!O$8+BC15*'Condition rating weights'!P$8+BD15*'Condition rating weights'!Q$8+BE15*'Condition rating weights'!R$8+BF15*'Condition rating weights'!S$8)/100</f>
        <v>0</v>
      </c>
      <c r="BH15" s="318"/>
      <c r="BI15" s="333"/>
      <c r="BJ15" s="333"/>
      <c r="BK15" s="333"/>
      <c r="BL15" s="333"/>
      <c r="BM15" s="333"/>
      <c r="BN15" s="333"/>
      <c r="BO15" s="333"/>
      <c r="BP15" s="333"/>
      <c r="BQ15" s="333"/>
      <c r="BR15" s="333"/>
      <c r="BS15" s="333"/>
      <c r="BT15" s="334"/>
      <c r="BU15" s="335"/>
      <c r="BV15" s="255"/>
      <c r="CD15" s="290"/>
      <c r="CH15" s="323" t="e">
        <f t="shared" si="5"/>
        <v>#N/A</v>
      </c>
      <c r="CI15" s="323" t="e">
        <f t="shared" si="6"/>
        <v>#N/A</v>
      </c>
      <c r="CJ15" s="323" t="e">
        <f t="shared" si="48"/>
        <v>#N/A</v>
      </c>
      <c r="CK15" s="323" t="e">
        <f t="shared" si="7"/>
        <v>#N/A</v>
      </c>
      <c r="CL15" s="323" t="e">
        <f t="shared" si="8"/>
        <v>#N/A</v>
      </c>
      <c r="CM15" s="323" t="e">
        <f t="shared" si="9"/>
        <v>#N/A</v>
      </c>
      <c r="CN15" s="323" t="e">
        <f t="shared" si="10"/>
        <v>#N/A</v>
      </c>
      <c r="CO15" s="323" t="e">
        <f t="shared" si="11"/>
        <v>#N/A</v>
      </c>
      <c r="CP15" s="323" t="e">
        <f t="shared" si="12"/>
        <v>#N/A</v>
      </c>
      <c r="CQ15" s="323" t="e">
        <f t="shared" si="13"/>
        <v>#N/A</v>
      </c>
      <c r="CR15" s="324" t="e">
        <f t="shared" si="49"/>
        <v>#N/A</v>
      </c>
      <c r="CS15" s="325" t="e">
        <f>(HLOOKUP($AI15,'Inflation Adjustments'!$B$3:$BT$4,2,TRUE))*CH15</f>
        <v>#N/A</v>
      </c>
      <c r="CT15" s="325" t="e">
        <f>(HLOOKUP($AI15,'Inflation Adjustments'!$B$3:$BT$4,2,TRUE))*CI15</f>
        <v>#N/A</v>
      </c>
      <c r="CU15" s="325" t="e">
        <f>(HLOOKUP($AI15,'Inflation Adjustments'!$B$3:$BT$4,2,TRUE))*CJ15</f>
        <v>#N/A</v>
      </c>
      <c r="CV15" s="325" t="e">
        <f>(HLOOKUP($AI15,'Inflation Adjustments'!$B$3:$BT$4,2,TRUE))*CK15</f>
        <v>#N/A</v>
      </c>
      <c r="CW15" s="325" t="e">
        <f>(HLOOKUP($AI15,'Inflation Adjustments'!$B$3:$BT$4,2,TRUE))*CL15</f>
        <v>#N/A</v>
      </c>
      <c r="CX15" s="325" t="e">
        <f>(HLOOKUP($AI15,'Inflation Adjustments'!$B$3:$BT$4,2,TRUE))*CM15</f>
        <v>#N/A</v>
      </c>
      <c r="CY15" s="325" t="e">
        <f>(HLOOKUP($AI15,'Inflation Adjustments'!$B$3:$BT$4,2,TRUE))*CN15</f>
        <v>#N/A</v>
      </c>
      <c r="CZ15" s="325" t="e">
        <f>(HLOOKUP($AI15,'Inflation Adjustments'!$B$3:$BT$4,2,TRUE))*CO15</f>
        <v>#N/A</v>
      </c>
      <c r="DA15" s="325" t="e">
        <f>(HLOOKUP($AI15,'Inflation Adjustments'!$B$3:$BT$4,2,TRUE))*CP15</f>
        <v>#N/A</v>
      </c>
      <c r="DB15" s="325" t="e">
        <f>(HLOOKUP($AI15,'Inflation Adjustments'!$B$3:$BT$4,2,TRUE))*CQ15</f>
        <v>#N/A</v>
      </c>
      <c r="DC15" s="325" t="e">
        <f t="shared" si="50"/>
        <v>#N/A</v>
      </c>
      <c r="DD15" s="326">
        <f t="shared" si="14"/>
        <v>2022</v>
      </c>
      <c r="DE15" s="323" t="e">
        <f t="shared" si="15"/>
        <v>#N/A</v>
      </c>
      <c r="DF15" s="323" t="e">
        <f t="shared" si="16"/>
        <v>#N/A</v>
      </c>
      <c r="DG15" s="323" t="e">
        <f t="shared" si="17"/>
        <v>#N/A</v>
      </c>
      <c r="DH15" s="323" t="e">
        <f t="shared" si="18"/>
        <v>#N/A</v>
      </c>
      <c r="DI15" s="323" t="e">
        <f t="shared" si="19"/>
        <v>#N/A</v>
      </c>
      <c r="DJ15" s="323" t="e">
        <f t="shared" si="20"/>
        <v>#N/A</v>
      </c>
      <c r="DK15" s="323" t="e">
        <f t="shared" si="21"/>
        <v>#N/A</v>
      </c>
      <c r="DL15" s="323" t="e">
        <f t="shared" si="22"/>
        <v>#N/A</v>
      </c>
      <c r="DM15" s="323" t="e">
        <f t="shared" si="23"/>
        <v>#N/A</v>
      </c>
      <c r="DN15" s="323" t="e">
        <f t="shared" si="24"/>
        <v>#N/A</v>
      </c>
      <c r="DO15" s="327" t="e">
        <f t="shared" si="25"/>
        <v>#N/A</v>
      </c>
      <c r="DP15" s="327" t="e">
        <f t="shared" si="26"/>
        <v>#N/A</v>
      </c>
      <c r="DQ15" s="327" t="e">
        <f t="shared" si="26"/>
        <v>#N/A</v>
      </c>
      <c r="DR15" s="327" t="e">
        <f t="shared" si="26"/>
        <v>#N/A</v>
      </c>
      <c r="DS15" s="327" t="e">
        <f t="shared" si="26"/>
        <v>#N/A</v>
      </c>
      <c r="DT15" s="327" t="e">
        <f t="shared" si="26"/>
        <v>#N/A</v>
      </c>
      <c r="DU15" s="327" t="e">
        <f t="shared" si="26"/>
        <v>#N/A</v>
      </c>
      <c r="DV15" s="327" t="e">
        <f t="shared" si="26"/>
        <v>#N/A</v>
      </c>
      <c r="DW15" s="327" t="e">
        <f t="shared" si="26"/>
        <v>#N/A</v>
      </c>
      <c r="DX15" s="327" t="e">
        <f t="shared" si="26"/>
        <v>#N/A</v>
      </c>
      <c r="DY15" s="327" t="e">
        <f t="shared" si="51"/>
        <v>#N/A</v>
      </c>
      <c r="DZ15" s="323" t="e">
        <f t="shared" si="27"/>
        <v>#N/A</v>
      </c>
      <c r="EA15" s="323" t="e">
        <f t="shared" si="28"/>
        <v>#N/A</v>
      </c>
      <c r="EB15" s="323" t="e">
        <f t="shared" si="28"/>
        <v>#N/A</v>
      </c>
      <c r="EC15" s="323" t="e">
        <f t="shared" si="28"/>
        <v>#N/A</v>
      </c>
      <c r="ED15" s="323" t="e">
        <f t="shared" si="28"/>
        <v>#N/A</v>
      </c>
      <c r="EE15" s="323" t="e">
        <f t="shared" si="28"/>
        <v>#N/A</v>
      </c>
      <c r="EF15" s="323" t="e">
        <f t="shared" si="28"/>
        <v>#N/A</v>
      </c>
      <c r="EG15" s="323" t="e">
        <f t="shared" si="28"/>
        <v>#N/A</v>
      </c>
      <c r="EH15" s="323" t="e">
        <f t="shared" si="28"/>
        <v>#N/A</v>
      </c>
      <c r="EI15" s="323" t="e">
        <f t="shared" si="28"/>
        <v>#N/A</v>
      </c>
      <c r="EJ15" s="324" t="e">
        <f t="shared" si="52"/>
        <v>#N/A</v>
      </c>
      <c r="EK15" s="327" t="e">
        <f t="shared" si="29"/>
        <v>#N/A</v>
      </c>
      <c r="EL15" s="327" t="e">
        <f t="shared" si="30"/>
        <v>#N/A</v>
      </c>
      <c r="EM15" s="327" t="e">
        <f t="shared" si="30"/>
        <v>#N/A</v>
      </c>
      <c r="EN15" s="327" t="e">
        <f t="shared" si="30"/>
        <v>#N/A</v>
      </c>
      <c r="EO15" s="327" t="e">
        <f t="shared" si="30"/>
        <v>#N/A</v>
      </c>
      <c r="EP15" s="327" t="e">
        <f t="shared" si="30"/>
        <v>#N/A</v>
      </c>
      <c r="EQ15" s="327" t="e">
        <f t="shared" si="30"/>
        <v>#N/A</v>
      </c>
      <c r="ER15" s="327" t="e">
        <f t="shared" si="30"/>
        <v>#N/A</v>
      </c>
      <c r="ES15" s="327" t="e">
        <f t="shared" si="30"/>
        <v>#N/A</v>
      </c>
      <c r="ET15" s="327" t="e">
        <f t="shared" si="30"/>
        <v>#N/A</v>
      </c>
      <c r="EU15" s="325" t="e">
        <f t="shared" si="53"/>
        <v>#N/A</v>
      </c>
      <c r="EV15" s="336"/>
      <c r="EW15" s="336"/>
      <c r="EX15" s="336"/>
      <c r="EY15" s="336"/>
      <c r="EZ15" s="336"/>
      <c r="FA15" s="336"/>
      <c r="FB15" s="336"/>
    </row>
    <row r="16" spans="1:158" ht="41.5" customHeight="1" x14ac:dyDescent="0.3">
      <c r="BT16" s="91"/>
      <c r="BU16" s="91"/>
      <c r="CH16" s="323" t="e">
        <f t="shared" si="5"/>
        <v>#N/A</v>
      </c>
      <c r="CI16" s="323" t="e">
        <f t="shared" si="6"/>
        <v>#N/A</v>
      </c>
      <c r="CJ16" s="323" t="e">
        <f t="shared" si="48"/>
        <v>#N/A</v>
      </c>
      <c r="CK16" s="323" t="e">
        <f t="shared" si="7"/>
        <v>#N/A</v>
      </c>
      <c r="CL16" s="323" t="e">
        <f t="shared" si="8"/>
        <v>#N/A</v>
      </c>
      <c r="CM16" s="323" t="e">
        <f t="shared" si="9"/>
        <v>#N/A</v>
      </c>
      <c r="CN16" s="323" t="e">
        <f t="shared" si="10"/>
        <v>#N/A</v>
      </c>
      <c r="CO16" s="323" t="e">
        <f t="shared" si="11"/>
        <v>#N/A</v>
      </c>
      <c r="CP16" s="323" t="e">
        <f t="shared" si="12"/>
        <v>#N/A</v>
      </c>
      <c r="CQ16" s="323" t="e">
        <f t="shared" si="13"/>
        <v>#N/A</v>
      </c>
      <c r="CR16" s="324" t="e">
        <f t="shared" si="49"/>
        <v>#N/A</v>
      </c>
      <c r="CS16" s="325" t="e">
        <f>(HLOOKUP($AI16,'Inflation Adjustments'!$B$3:$BT$4,2,TRUE))*CH16</f>
        <v>#N/A</v>
      </c>
      <c r="CT16" s="325" t="e">
        <f>(HLOOKUP($AI16,'Inflation Adjustments'!$B$3:$BT$4,2,TRUE))*CI16</f>
        <v>#N/A</v>
      </c>
      <c r="CU16" s="325" t="e">
        <f>(HLOOKUP($AI16,'Inflation Adjustments'!$B$3:$BT$4,2,TRUE))*CJ16</f>
        <v>#N/A</v>
      </c>
      <c r="CV16" s="325" t="e">
        <f>(HLOOKUP($AI16,'Inflation Adjustments'!$B$3:$BT$4,2,TRUE))*CK16</f>
        <v>#N/A</v>
      </c>
      <c r="CW16" s="325" t="e">
        <f>(HLOOKUP($AI16,'Inflation Adjustments'!$B$3:$BT$4,2,TRUE))*CL16</f>
        <v>#N/A</v>
      </c>
      <c r="CX16" s="325" t="e">
        <f>(HLOOKUP($AI16,'Inflation Adjustments'!$B$3:$BT$4,2,TRUE))*CM16</f>
        <v>#N/A</v>
      </c>
      <c r="CY16" s="325" t="e">
        <f>(HLOOKUP($AI16,'Inflation Adjustments'!$B$3:$BT$4,2,TRUE))*CN16</f>
        <v>#N/A</v>
      </c>
      <c r="CZ16" s="325" t="e">
        <f>(HLOOKUP($AI16,'Inflation Adjustments'!$B$3:$BT$4,2,TRUE))*CO16</f>
        <v>#N/A</v>
      </c>
      <c r="DA16" s="325" t="e">
        <f>(HLOOKUP($AI16,'Inflation Adjustments'!$B$3:$BT$4,2,TRUE))*CP16</f>
        <v>#N/A</v>
      </c>
      <c r="DB16" s="325" t="e">
        <f>(HLOOKUP($AI16,'Inflation Adjustments'!$B$3:$BT$4,2,TRUE))*CQ16</f>
        <v>#N/A</v>
      </c>
      <c r="DC16" s="325" t="e">
        <f t="shared" si="50"/>
        <v>#N/A</v>
      </c>
      <c r="DD16" s="326">
        <f t="shared" si="14"/>
        <v>2022</v>
      </c>
      <c r="DE16" s="323" t="e">
        <f t="shared" si="15"/>
        <v>#N/A</v>
      </c>
      <c r="DF16" s="323" t="e">
        <f t="shared" si="16"/>
        <v>#N/A</v>
      </c>
      <c r="DG16" s="323" t="e">
        <f t="shared" si="17"/>
        <v>#N/A</v>
      </c>
      <c r="DH16" s="323" t="e">
        <f t="shared" si="18"/>
        <v>#N/A</v>
      </c>
      <c r="DI16" s="323" t="e">
        <f t="shared" si="19"/>
        <v>#N/A</v>
      </c>
      <c r="DJ16" s="323" t="e">
        <f t="shared" si="20"/>
        <v>#N/A</v>
      </c>
      <c r="DK16" s="323" t="e">
        <f t="shared" si="21"/>
        <v>#N/A</v>
      </c>
      <c r="DL16" s="323" t="e">
        <f t="shared" si="22"/>
        <v>#N/A</v>
      </c>
      <c r="DM16" s="323" t="e">
        <f t="shared" si="23"/>
        <v>#N/A</v>
      </c>
      <c r="DN16" s="323" t="e">
        <f t="shared" si="24"/>
        <v>#N/A</v>
      </c>
      <c r="DO16" s="327" t="e">
        <f t="shared" si="25"/>
        <v>#N/A</v>
      </c>
      <c r="DP16" s="327" t="e">
        <f t="shared" si="26"/>
        <v>#N/A</v>
      </c>
      <c r="DQ16" s="327" t="e">
        <f t="shared" si="26"/>
        <v>#N/A</v>
      </c>
      <c r="DR16" s="327" t="e">
        <f t="shared" si="26"/>
        <v>#N/A</v>
      </c>
      <c r="DS16" s="327" t="e">
        <f t="shared" si="26"/>
        <v>#N/A</v>
      </c>
      <c r="DT16" s="327" t="e">
        <f t="shared" si="26"/>
        <v>#N/A</v>
      </c>
      <c r="DU16" s="327" t="e">
        <f t="shared" si="26"/>
        <v>#N/A</v>
      </c>
      <c r="DV16" s="327" t="e">
        <f t="shared" si="26"/>
        <v>#N/A</v>
      </c>
      <c r="DW16" s="327" t="e">
        <f t="shared" si="26"/>
        <v>#N/A</v>
      </c>
      <c r="DX16" s="327" t="e">
        <f t="shared" si="26"/>
        <v>#N/A</v>
      </c>
      <c r="DY16" s="327" t="e">
        <f t="shared" si="51"/>
        <v>#N/A</v>
      </c>
      <c r="DZ16" s="323" t="e">
        <f t="shared" si="27"/>
        <v>#N/A</v>
      </c>
      <c r="EA16" s="323" t="e">
        <f t="shared" si="28"/>
        <v>#N/A</v>
      </c>
      <c r="EB16" s="323" t="e">
        <f t="shared" si="28"/>
        <v>#N/A</v>
      </c>
      <c r="EC16" s="323" t="e">
        <f t="shared" si="28"/>
        <v>#N/A</v>
      </c>
      <c r="ED16" s="323" t="e">
        <f t="shared" si="28"/>
        <v>#N/A</v>
      </c>
      <c r="EE16" s="323" t="e">
        <f t="shared" si="28"/>
        <v>#N/A</v>
      </c>
      <c r="EF16" s="323" t="e">
        <f t="shared" si="28"/>
        <v>#N/A</v>
      </c>
      <c r="EG16" s="323" t="e">
        <f t="shared" si="28"/>
        <v>#N/A</v>
      </c>
      <c r="EH16" s="323" t="e">
        <f t="shared" si="28"/>
        <v>#N/A</v>
      </c>
      <c r="EI16" s="323" t="e">
        <f t="shared" si="28"/>
        <v>#N/A</v>
      </c>
      <c r="EJ16" s="324" t="e">
        <f t="shared" si="52"/>
        <v>#N/A</v>
      </c>
      <c r="EK16" s="327" t="e">
        <f t="shared" si="29"/>
        <v>#N/A</v>
      </c>
      <c r="EL16" s="327" t="e">
        <f t="shared" si="30"/>
        <v>#N/A</v>
      </c>
      <c r="EM16" s="327" t="e">
        <f t="shared" si="30"/>
        <v>#N/A</v>
      </c>
      <c r="EN16" s="327" t="e">
        <f t="shared" si="30"/>
        <v>#N/A</v>
      </c>
      <c r="EO16" s="327" t="e">
        <f t="shared" si="30"/>
        <v>#N/A</v>
      </c>
      <c r="EP16" s="327" t="e">
        <f t="shared" si="30"/>
        <v>#N/A</v>
      </c>
      <c r="EQ16" s="327" t="e">
        <f t="shared" si="30"/>
        <v>#N/A</v>
      </c>
      <c r="ER16" s="327" t="e">
        <f t="shared" si="30"/>
        <v>#N/A</v>
      </c>
      <c r="ES16" s="327" t="e">
        <f t="shared" si="30"/>
        <v>#N/A</v>
      </c>
      <c r="ET16" s="327" t="e">
        <f t="shared" si="30"/>
        <v>#N/A</v>
      </c>
      <c r="EU16" s="325" t="e">
        <f t="shared" si="53"/>
        <v>#N/A</v>
      </c>
      <c r="EV16" s="336"/>
      <c r="EW16" s="336"/>
      <c r="EX16" s="336"/>
      <c r="EY16" s="336"/>
      <c r="EZ16" s="336"/>
      <c r="FA16" s="336"/>
      <c r="FB16" s="336"/>
    </row>
    <row r="17" spans="46:158" ht="41.5" customHeight="1" x14ac:dyDescent="0.3">
      <c r="BT17" s="91"/>
      <c r="BU17" s="91"/>
      <c r="CH17" s="323" t="e">
        <f t="shared" si="5"/>
        <v>#N/A</v>
      </c>
      <c r="CI17" s="323" t="e">
        <f t="shared" si="6"/>
        <v>#N/A</v>
      </c>
      <c r="CJ17" s="323" t="e">
        <f t="shared" si="48"/>
        <v>#N/A</v>
      </c>
      <c r="CK17" s="323" t="e">
        <f t="shared" si="7"/>
        <v>#N/A</v>
      </c>
      <c r="CL17" s="323" t="e">
        <f t="shared" si="8"/>
        <v>#N/A</v>
      </c>
      <c r="CM17" s="323" t="e">
        <f t="shared" si="9"/>
        <v>#N/A</v>
      </c>
      <c r="CN17" s="323" t="e">
        <f t="shared" si="10"/>
        <v>#N/A</v>
      </c>
      <c r="CO17" s="323" t="e">
        <f t="shared" si="11"/>
        <v>#N/A</v>
      </c>
      <c r="CP17" s="323" t="e">
        <f t="shared" si="12"/>
        <v>#N/A</v>
      </c>
      <c r="CQ17" s="323" t="e">
        <f t="shared" si="13"/>
        <v>#N/A</v>
      </c>
      <c r="CR17" s="324" t="e">
        <f t="shared" si="49"/>
        <v>#N/A</v>
      </c>
      <c r="CS17" s="325" t="e">
        <f>(HLOOKUP($AI17,'Inflation Adjustments'!$B$3:$BT$4,2,TRUE))*CH17</f>
        <v>#N/A</v>
      </c>
      <c r="CT17" s="325" t="e">
        <f>(HLOOKUP($AI17,'Inflation Adjustments'!$B$3:$BT$4,2,TRUE))*CI17</f>
        <v>#N/A</v>
      </c>
      <c r="CU17" s="325" t="e">
        <f>(HLOOKUP($AI17,'Inflation Adjustments'!$B$3:$BT$4,2,TRUE))*CJ17</f>
        <v>#N/A</v>
      </c>
      <c r="CV17" s="325" t="e">
        <f>(HLOOKUP($AI17,'Inflation Adjustments'!$B$3:$BT$4,2,TRUE))*CK17</f>
        <v>#N/A</v>
      </c>
      <c r="CW17" s="325" t="e">
        <f>(HLOOKUP($AI17,'Inflation Adjustments'!$B$3:$BT$4,2,TRUE))*CL17</f>
        <v>#N/A</v>
      </c>
      <c r="CX17" s="325" t="e">
        <f>(HLOOKUP($AI17,'Inflation Adjustments'!$B$3:$BT$4,2,TRUE))*CM17</f>
        <v>#N/A</v>
      </c>
      <c r="CY17" s="325" t="e">
        <f>(HLOOKUP($AI17,'Inflation Adjustments'!$B$3:$BT$4,2,TRUE))*CN17</f>
        <v>#N/A</v>
      </c>
      <c r="CZ17" s="325" t="e">
        <f>(HLOOKUP($AI17,'Inflation Adjustments'!$B$3:$BT$4,2,TRUE))*CO17</f>
        <v>#N/A</v>
      </c>
      <c r="DA17" s="325" t="e">
        <f>(HLOOKUP($AI17,'Inflation Adjustments'!$B$3:$BT$4,2,TRUE))*CP17</f>
        <v>#N/A</v>
      </c>
      <c r="DB17" s="325" t="e">
        <f>(HLOOKUP($AI17,'Inflation Adjustments'!$B$3:$BT$4,2,TRUE))*CQ17</f>
        <v>#N/A</v>
      </c>
      <c r="DC17" s="325" t="e">
        <f t="shared" si="50"/>
        <v>#N/A</v>
      </c>
      <c r="DD17" s="326">
        <f t="shared" si="14"/>
        <v>2022</v>
      </c>
      <c r="DE17" s="323" t="e">
        <f t="shared" si="15"/>
        <v>#N/A</v>
      </c>
      <c r="DF17" s="323" t="e">
        <f t="shared" si="16"/>
        <v>#N/A</v>
      </c>
      <c r="DG17" s="323" t="e">
        <f t="shared" si="17"/>
        <v>#N/A</v>
      </c>
      <c r="DH17" s="323" t="e">
        <f t="shared" si="18"/>
        <v>#N/A</v>
      </c>
      <c r="DI17" s="323" t="e">
        <f t="shared" si="19"/>
        <v>#N/A</v>
      </c>
      <c r="DJ17" s="323" t="e">
        <f t="shared" si="20"/>
        <v>#N/A</v>
      </c>
      <c r="DK17" s="323" t="e">
        <f t="shared" si="21"/>
        <v>#N/A</v>
      </c>
      <c r="DL17" s="323" t="e">
        <f t="shared" si="22"/>
        <v>#N/A</v>
      </c>
      <c r="DM17" s="323" t="e">
        <f t="shared" si="23"/>
        <v>#N/A</v>
      </c>
      <c r="DN17" s="323" t="e">
        <f t="shared" si="24"/>
        <v>#N/A</v>
      </c>
      <c r="DO17" s="327" t="e">
        <f t="shared" si="25"/>
        <v>#N/A</v>
      </c>
      <c r="DP17" s="327" t="e">
        <f t="shared" ref="DP17:DX18" si="54">CT17/DF17</f>
        <v>#N/A</v>
      </c>
      <c r="DQ17" s="327" t="e">
        <f t="shared" si="54"/>
        <v>#N/A</v>
      </c>
      <c r="DR17" s="327" t="e">
        <f t="shared" si="54"/>
        <v>#N/A</v>
      </c>
      <c r="DS17" s="327" t="e">
        <f t="shared" si="54"/>
        <v>#N/A</v>
      </c>
      <c r="DT17" s="327" t="e">
        <f t="shared" si="54"/>
        <v>#N/A</v>
      </c>
      <c r="DU17" s="327" t="e">
        <f t="shared" si="54"/>
        <v>#N/A</v>
      </c>
      <c r="DV17" s="327" t="e">
        <f t="shared" si="54"/>
        <v>#N/A</v>
      </c>
      <c r="DW17" s="327" t="e">
        <f t="shared" si="54"/>
        <v>#N/A</v>
      </c>
      <c r="DX17" s="327" t="e">
        <f t="shared" si="54"/>
        <v>#N/A</v>
      </c>
      <c r="DY17" s="327" t="e">
        <f t="shared" si="51"/>
        <v>#N/A</v>
      </c>
      <c r="DZ17" s="323" t="e">
        <f t="shared" si="27"/>
        <v>#N/A</v>
      </c>
      <c r="EA17" s="323" t="e">
        <f t="shared" ref="EA17:EI18" si="55">IF(DP17*$DD17&gt;CT17,CT17,DP17*$DD17)</f>
        <v>#N/A</v>
      </c>
      <c r="EB17" s="323" t="e">
        <f t="shared" si="55"/>
        <v>#N/A</v>
      </c>
      <c r="EC17" s="323" t="e">
        <f t="shared" si="55"/>
        <v>#N/A</v>
      </c>
      <c r="ED17" s="323" t="e">
        <f t="shared" si="55"/>
        <v>#N/A</v>
      </c>
      <c r="EE17" s="323" t="e">
        <f t="shared" si="55"/>
        <v>#N/A</v>
      </c>
      <c r="EF17" s="323" t="e">
        <f t="shared" si="55"/>
        <v>#N/A</v>
      </c>
      <c r="EG17" s="323" t="e">
        <f t="shared" si="55"/>
        <v>#N/A</v>
      </c>
      <c r="EH17" s="323" t="e">
        <f t="shared" si="55"/>
        <v>#N/A</v>
      </c>
      <c r="EI17" s="323" t="e">
        <f t="shared" si="55"/>
        <v>#N/A</v>
      </c>
      <c r="EJ17" s="324" t="e">
        <f t="shared" si="52"/>
        <v>#N/A</v>
      </c>
      <c r="EK17" s="327" t="e">
        <f t="shared" si="29"/>
        <v>#N/A</v>
      </c>
      <c r="EL17" s="327" t="e">
        <f t="shared" ref="EL17:ET18" si="56">IF(DP17&lt;(CT17-EA17),DP17,(CT17-EA17))</f>
        <v>#N/A</v>
      </c>
      <c r="EM17" s="327" t="e">
        <f t="shared" si="56"/>
        <v>#N/A</v>
      </c>
      <c r="EN17" s="327" t="e">
        <f t="shared" si="56"/>
        <v>#N/A</v>
      </c>
      <c r="EO17" s="327" t="e">
        <f t="shared" si="56"/>
        <v>#N/A</v>
      </c>
      <c r="EP17" s="327" t="e">
        <f t="shared" si="56"/>
        <v>#N/A</v>
      </c>
      <c r="EQ17" s="327" t="e">
        <f t="shared" si="56"/>
        <v>#N/A</v>
      </c>
      <c r="ER17" s="327" t="e">
        <f t="shared" si="56"/>
        <v>#N/A</v>
      </c>
      <c r="ES17" s="327" t="e">
        <f t="shared" si="56"/>
        <v>#N/A</v>
      </c>
      <c r="ET17" s="327" t="e">
        <f t="shared" si="56"/>
        <v>#N/A</v>
      </c>
      <c r="EU17" s="325" t="e">
        <f t="shared" si="53"/>
        <v>#N/A</v>
      </c>
      <c r="EV17" s="336"/>
      <c r="EW17" s="336"/>
      <c r="EX17" s="336"/>
      <c r="EY17" s="336"/>
      <c r="EZ17" s="336"/>
      <c r="FA17" s="336"/>
      <c r="FB17" s="336"/>
    </row>
    <row r="18" spans="46:158" ht="41.5" customHeight="1" x14ac:dyDescent="0.3">
      <c r="BT18" s="91"/>
      <c r="BU18" s="91"/>
      <c r="CH18" s="323" t="e">
        <f t="shared" si="5"/>
        <v>#N/A</v>
      </c>
      <c r="CI18" s="323" t="e">
        <f t="shared" si="6"/>
        <v>#N/A</v>
      </c>
      <c r="CJ18" s="323" t="e">
        <f t="shared" si="48"/>
        <v>#N/A</v>
      </c>
      <c r="CK18" s="323" t="e">
        <f t="shared" si="7"/>
        <v>#N/A</v>
      </c>
      <c r="CL18" s="323" t="e">
        <f t="shared" si="8"/>
        <v>#N/A</v>
      </c>
      <c r="CM18" s="323" t="e">
        <f t="shared" si="9"/>
        <v>#N/A</v>
      </c>
      <c r="CN18" s="323" t="e">
        <f t="shared" si="10"/>
        <v>#N/A</v>
      </c>
      <c r="CO18" s="323" t="e">
        <f t="shared" si="11"/>
        <v>#N/A</v>
      </c>
      <c r="CP18" s="323" t="e">
        <f t="shared" si="12"/>
        <v>#N/A</v>
      </c>
      <c r="CQ18" s="323" t="e">
        <f t="shared" si="13"/>
        <v>#N/A</v>
      </c>
      <c r="CR18" s="324" t="e">
        <f t="shared" si="49"/>
        <v>#N/A</v>
      </c>
      <c r="CS18" s="325" t="e">
        <f>(HLOOKUP($AI18,'Inflation Adjustments'!$B$3:$BT$4,2,TRUE))*CH18</f>
        <v>#N/A</v>
      </c>
      <c r="CT18" s="325" t="e">
        <f>(HLOOKUP($AI18,'Inflation Adjustments'!$B$3:$BT$4,2,TRUE))*CI18</f>
        <v>#N/A</v>
      </c>
      <c r="CU18" s="325" t="e">
        <f>(HLOOKUP($AI18,'Inflation Adjustments'!$B$3:$BT$4,2,TRUE))*CJ18</f>
        <v>#N/A</v>
      </c>
      <c r="CV18" s="325" t="e">
        <f>(HLOOKUP($AI18,'Inflation Adjustments'!$B$3:$BT$4,2,TRUE))*CK18</f>
        <v>#N/A</v>
      </c>
      <c r="CW18" s="325" t="e">
        <f>(HLOOKUP($AI18,'Inflation Adjustments'!$B$3:$BT$4,2,TRUE))*CL18</f>
        <v>#N/A</v>
      </c>
      <c r="CX18" s="325" t="e">
        <f>(HLOOKUP($AI18,'Inflation Adjustments'!$B$3:$BT$4,2,TRUE))*CM18</f>
        <v>#N/A</v>
      </c>
      <c r="CY18" s="325" t="e">
        <f>(HLOOKUP($AI18,'Inflation Adjustments'!$B$3:$BT$4,2,TRUE))*CN18</f>
        <v>#N/A</v>
      </c>
      <c r="CZ18" s="325" t="e">
        <f>(HLOOKUP($AI18,'Inflation Adjustments'!$B$3:$BT$4,2,TRUE))*CO18</f>
        <v>#N/A</v>
      </c>
      <c r="DA18" s="325" t="e">
        <f>(HLOOKUP($AI18,'Inflation Adjustments'!$B$3:$BT$4,2,TRUE))*CP18</f>
        <v>#N/A</v>
      </c>
      <c r="DB18" s="325" t="e">
        <f>(HLOOKUP($AI18,'Inflation Adjustments'!$B$3:$BT$4,2,TRUE))*CQ18</f>
        <v>#N/A</v>
      </c>
      <c r="DC18" s="325" t="e">
        <f t="shared" si="50"/>
        <v>#N/A</v>
      </c>
      <c r="DD18" s="326">
        <f t="shared" si="14"/>
        <v>2022</v>
      </c>
      <c r="DE18" s="323" t="e">
        <f t="shared" si="15"/>
        <v>#N/A</v>
      </c>
      <c r="DF18" s="323" t="e">
        <f t="shared" si="16"/>
        <v>#N/A</v>
      </c>
      <c r="DG18" s="323" t="e">
        <f t="shared" si="17"/>
        <v>#N/A</v>
      </c>
      <c r="DH18" s="323" t="e">
        <f t="shared" si="18"/>
        <v>#N/A</v>
      </c>
      <c r="DI18" s="323" t="e">
        <f t="shared" si="19"/>
        <v>#N/A</v>
      </c>
      <c r="DJ18" s="323" t="e">
        <f t="shared" si="20"/>
        <v>#N/A</v>
      </c>
      <c r="DK18" s="323" t="e">
        <f t="shared" si="21"/>
        <v>#N/A</v>
      </c>
      <c r="DL18" s="323" t="e">
        <f t="shared" si="22"/>
        <v>#N/A</v>
      </c>
      <c r="DM18" s="323" t="e">
        <f t="shared" si="23"/>
        <v>#N/A</v>
      </c>
      <c r="DN18" s="323" t="e">
        <f t="shared" si="24"/>
        <v>#N/A</v>
      </c>
      <c r="DO18" s="327" t="e">
        <f t="shared" si="25"/>
        <v>#N/A</v>
      </c>
      <c r="DP18" s="327" t="e">
        <f t="shared" si="54"/>
        <v>#N/A</v>
      </c>
      <c r="DQ18" s="327" t="e">
        <f t="shared" si="54"/>
        <v>#N/A</v>
      </c>
      <c r="DR18" s="327" t="e">
        <f t="shared" si="54"/>
        <v>#N/A</v>
      </c>
      <c r="DS18" s="327" t="e">
        <f t="shared" si="54"/>
        <v>#N/A</v>
      </c>
      <c r="DT18" s="327" t="e">
        <f t="shared" si="54"/>
        <v>#N/A</v>
      </c>
      <c r="DU18" s="327" t="e">
        <f t="shared" si="54"/>
        <v>#N/A</v>
      </c>
      <c r="DV18" s="327" t="e">
        <f t="shared" si="54"/>
        <v>#N/A</v>
      </c>
      <c r="DW18" s="327" t="e">
        <f t="shared" si="54"/>
        <v>#N/A</v>
      </c>
      <c r="DX18" s="327" t="e">
        <f t="shared" si="54"/>
        <v>#N/A</v>
      </c>
      <c r="DY18" s="327" t="e">
        <f t="shared" si="51"/>
        <v>#N/A</v>
      </c>
      <c r="DZ18" s="323" t="e">
        <f t="shared" si="27"/>
        <v>#N/A</v>
      </c>
      <c r="EA18" s="323" t="e">
        <f t="shared" si="55"/>
        <v>#N/A</v>
      </c>
      <c r="EB18" s="323" t="e">
        <f t="shared" si="55"/>
        <v>#N/A</v>
      </c>
      <c r="EC18" s="323" t="e">
        <f t="shared" si="55"/>
        <v>#N/A</v>
      </c>
      <c r="ED18" s="323" t="e">
        <f t="shared" si="55"/>
        <v>#N/A</v>
      </c>
      <c r="EE18" s="323" t="e">
        <f t="shared" si="55"/>
        <v>#N/A</v>
      </c>
      <c r="EF18" s="323" t="e">
        <f t="shared" si="55"/>
        <v>#N/A</v>
      </c>
      <c r="EG18" s="323" t="e">
        <f t="shared" si="55"/>
        <v>#N/A</v>
      </c>
      <c r="EH18" s="323" t="e">
        <f t="shared" si="55"/>
        <v>#N/A</v>
      </c>
      <c r="EI18" s="323" t="e">
        <f t="shared" si="55"/>
        <v>#N/A</v>
      </c>
      <c r="EJ18" s="324" t="e">
        <f t="shared" si="52"/>
        <v>#N/A</v>
      </c>
      <c r="EK18" s="327" t="e">
        <f t="shared" si="29"/>
        <v>#N/A</v>
      </c>
      <c r="EL18" s="327" t="e">
        <f t="shared" si="56"/>
        <v>#N/A</v>
      </c>
      <c r="EM18" s="327" t="e">
        <f t="shared" si="56"/>
        <v>#N/A</v>
      </c>
      <c r="EN18" s="327" t="e">
        <f t="shared" si="56"/>
        <v>#N/A</v>
      </c>
      <c r="EO18" s="327" t="e">
        <f t="shared" si="56"/>
        <v>#N/A</v>
      </c>
      <c r="EP18" s="327" t="e">
        <f t="shared" si="56"/>
        <v>#N/A</v>
      </c>
      <c r="EQ18" s="327" t="e">
        <f t="shared" si="56"/>
        <v>#N/A</v>
      </c>
      <c r="ER18" s="327" t="e">
        <f t="shared" si="56"/>
        <v>#N/A</v>
      </c>
      <c r="ES18" s="327" t="e">
        <f t="shared" si="56"/>
        <v>#N/A</v>
      </c>
      <c r="ET18" s="327" t="e">
        <f t="shared" si="56"/>
        <v>#N/A</v>
      </c>
      <c r="EU18" s="325" t="e">
        <f t="shared" si="53"/>
        <v>#N/A</v>
      </c>
      <c r="EV18" s="336"/>
      <c r="EW18" s="336"/>
      <c r="EX18" s="336"/>
      <c r="EY18" s="336"/>
      <c r="EZ18" s="336"/>
      <c r="FA18" s="336"/>
      <c r="FB18" s="336"/>
    </row>
    <row r="19" spans="46:158" x14ac:dyDescent="0.3">
      <c r="AT19" s="343"/>
    </row>
    <row r="49" spans="2:46" x14ac:dyDescent="0.3">
      <c r="AM49" s="91" t="s">
        <v>1856</v>
      </c>
      <c r="AO49" s="91" t="s">
        <v>826</v>
      </c>
      <c r="AP49" s="91" t="s">
        <v>1857</v>
      </c>
      <c r="AS49" s="91" t="s">
        <v>816</v>
      </c>
      <c r="AT49" s="91" t="s">
        <v>1858</v>
      </c>
    </row>
    <row r="50" spans="2:46" ht="39" customHeight="1" x14ac:dyDescent="0.3">
      <c r="B50" s="91" t="s">
        <v>52</v>
      </c>
      <c r="AM50" s="343">
        <f>SUM(AM5:AM48)</f>
        <v>63317.156061048721</v>
      </c>
      <c r="AN50" s="343"/>
      <c r="AO50" s="343">
        <f>SUM(AO5:AO6)</f>
        <v>39705.141619864924</v>
      </c>
      <c r="AP50" s="343">
        <f t="shared" ref="AP50:AT50" si="57">SUM(AP5:AP6)</f>
        <v>23612.014441183794</v>
      </c>
      <c r="AQ50" s="343">
        <f t="shared" si="57"/>
        <v>2429.0562575575455</v>
      </c>
      <c r="AR50" s="343">
        <f t="shared" si="57"/>
        <v>21182.958183626248</v>
      </c>
      <c r="AS50" s="343">
        <f t="shared" si="57"/>
        <v>153158.39437499997</v>
      </c>
      <c r="AT50" s="343">
        <f t="shared" si="57"/>
        <v>765.79197187499994</v>
      </c>
    </row>
  </sheetData>
  <mergeCells count="50">
    <mergeCell ref="BU3:BU4"/>
    <mergeCell ref="FB3:FB4"/>
    <mergeCell ref="CS3:DC3"/>
    <mergeCell ref="DE3:DN3"/>
    <mergeCell ref="DO3:DY3"/>
    <mergeCell ref="DZ3:EJ3"/>
    <mergeCell ref="EK3:EU3"/>
    <mergeCell ref="EV3:EV4"/>
    <mergeCell ref="EW3:EW4"/>
    <mergeCell ref="EX3:EX4"/>
    <mergeCell ref="EY3:EY4"/>
    <mergeCell ref="EZ3:EZ4"/>
    <mergeCell ref="FA3:FA4"/>
    <mergeCell ref="AU3:BD3"/>
    <mergeCell ref="BE3:BE4"/>
    <mergeCell ref="BF3:BF4"/>
    <mergeCell ref="BH3:BH4"/>
    <mergeCell ref="CH3:CR3"/>
    <mergeCell ref="BJ3:BJ4"/>
    <mergeCell ref="BK3:BK4"/>
    <mergeCell ref="BL3:BL4"/>
    <mergeCell ref="BM3:BM4"/>
    <mergeCell ref="BN3:BN4"/>
    <mergeCell ref="BO3:BO4"/>
    <mergeCell ref="BP3:BP4"/>
    <mergeCell ref="BQ3:BQ4"/>
    <mergeCell ref="BR3:BR4"/>
    <mergeCell ref="BS3:BS4"/>
    <mergeCell ref="BT3:BT4"/>
    <mergeCell ref="AM3:AN3"/>
    <mergeCell ref="AF2:AR2"/>
    <mergeCell ref="AS2:BG2"/>
    <mergeCell ref="BH2:BT2"/>
    <mergeCell ref="J3:S3"/>
    <mergeCell ref="T3:AC3"/>
    <mergeCell ref="AD3:AE3"/>
    <mergeCell ref="AG3:AH3"/>
    <mergeCell ref="AI3:AJ3"/>
    <mergeCell ref="BI3:BI4"/>
    <mergeCell ref="AO3:AO4"/>
    <mergeCell ref="AP3:AP4"/>
    <mergeCell ref="AQ3:AQ4"/>
    <mergeCell ref="AR3:AR4"/>
    <mergeCell ref="AS3:AS4"/>
    <mergeCell ref="AT3:AT4"/>
    <mergeCell ref="A1:B1"/>
    <mergeCell ref="A2:I2"/>
    <mergeCell ref="J2:AE2"/>
    <mergeCell ref="DO2:EJ2"/>
    <mergeCell ref="EV2:FB2"/>
  </mergeCells>
  <conditionalFormatting sqref="AU5:BA6">
    <cfRule type="cellIs" dxfId="255" priority="14" operator="equal">
      <formula>1</formula>
    </cfRule>
    <cfRule type="cellIs" dxfId="254" priority="15" operator="equal">
      <formula>2</formula>
    </cfRule>
    <cfRule type="cellIs" dxfId="253" priority="16" operator="equal">
      <formula>3</formula>
    </cfRule>
    <cfRule type="cellIs" dxfId="252" priority="17" operator="greaterThan">
      <formula>3.5</formula>
    </cfRule>
  </conditionalFormatting>
  <conditionalFormatting sqref="BE5:BE6">
    <cfRule type="cellIs" dxfId="251" priority="6" operator="equal">
      <formula>1</formula>
    </cfRule>
    <cfRule type="cellIs" dxfId="250" priority="7" operator="equal">
      <formula>2</formula>
    </cfRule>
    <cfRule type="cellIs" dxfId="249" priority="8" operator="equal">
      <formula>3</formula>
    </cfRule>
    <cfRule type="cellIs" dxfId="248" priority="9" operator="greaterThan">
      <formula>3.5</formula>
    </cfRule>
  </conditionalFormatting>
  <conditionalFormatting sqref="BG5:BG15">
    <cfRule type="cellIs" dxfId="247" priority="1" operator="lessThan">
      <formula>0.3</formula>
    </cfRule>
    <cfRule type="cellIs" dxfId="246" priority="2" operator="between">
      <formula>0.3</formula>
      <formula>0.5</formula>
    </cfRule>
    <cfRule type="cellIs" dxfId="245" priority="3" operator="between">
      <formula>0.5</formula>
      <formula>0.6</formula>
    </cfRule>
    <cfRule type="cellIs" dxfId="244" priority="4" operator="greaterThan">
      <formula>0.6</formula>
    </cfRule>
    <cfRule type="cellIs" dxfId="243" priority="5" operator="lessThan">
      <formula>0.5</formula>
    </cfRule>
  </conditionalFormatting>
  <dataValidations count="6">
    <dataValidation type="list" allowBlank="1" showInputMessage="1" showErrorMessage="1" sqref="Y4:AC4" xr:uid="{BB118F29-F19A-4532-BF5E-5EFE13A631AC}">
      <formula1>$I$4:$I$16</formula1>
    </dataValidation>
    <dataValidation type="list" allowBlank="1" showInputMessage="1" showErrorMessage="1" sqref="R5:R14" xr:uid="{B8C484A6-D389-4BCC-85D1-8BD39B025AE8}">
      <formula1>$J$86:$J$89</formula1>
    </dataValidation>
    <dataValidation type="list" allowBlank="1" showInputMessage="1" showErrorMessage="1" sqref="M5:M15" xr:uid="{7FC9F314-9A3C-4943-84DE-1DD081B2FBD4}">
      <formula1>$J$37:$J$43</formula1>
    </dataValidation>
    <dataValidation type="list" allowBlank="1" showInputMessage="1" showErrorMessage="1" sqref="F5:F14" xr:uid="{5AF3C330-9A48-4412-900F-E24925B67AA9}">
      <formula1>$H$4:$H$19</formula1>
    </dataValidation>
    <dataValidation type="list" allowBlank="1" showInputMessage="1" showErrorMessage="1" sqref="C5 C7:C9" xr:uid="{A59A572F-C797-4529-88CF-A398E02A395D}">
      <formula1>$B$4:$B$48</formula1>
    </dataValidation>
    <dataValidation type="list" allowBlank="1" showInputMessage="1" showErrorMessage="1" sqref="D14:D15" xr:uid="{39EA7CDA-6B3D-42AE-8519-61C914724002}">
      <formula1>$D$4:$D$18</formula1>
    </dataValidation>
  </dataValidations>
  <pageMargins left="0.7" right="0.7" top="0.75" bottom="0.75" header="0.3" footer="0.3"/>
  <pageSetup orientation="portrait" horizontalDpi="4294967293" verticalDpi="0" r:id="rId1"/>
  <headerFooter>
    <oddFooter>&amp;C_x000D_&amp;1#&amp;"Calibri"&amp;8&amp;K000000 INTERNAL. This information is accessible to ADB Management and staff. It may be shared outside ADB with appropriate permission.</oddFooter>
  </headerFooter>
  <extLst>
    <ext xmlns:x14="http://schemas.microsoft.com/office/spreadsheetml/2009/9/main" uri="{CCE6A557-97BC-4b89-ADB6-D9C93CAAB3DF}">
      <x14:dataValidations xmlns:xm="http://schemas.microsoft.com/office/excel/2006/main" count="20">
        <x14:dataValidation type="list" allowBlank="1" showInputMessage="1" showErrorMessage="1" xr:uid="{53955F78-B2FE-4DCC-9F9E-411EEBBE2136}">
          <x14:formula1>
            <xm:f>'Condition rating weights'!$C$29:$C$34</xm:f>
          </x14:formula1>
          <xm:sqref>AU5:BF15</xm:sqref>
        </x14:dataValidation>
        <x14:dataValidation type="list" allowBlank="1" showInputMessage="1" showErrorMessage="1" xr:uid="{B0922A26-3025-4E83-AA86-19815A2C7202}">
          <x14:formula1>
            <xm:f>'Inflation Adjustments'!$B$3:$BT$3</xm:f>
          </x14:formula1>
          <xm:sqref>AG16 AG5:AG11</xm:sqref>
        </x14:dataValidation>
        <x14:dataValidation type="list" allowBlank="1" showInputMessage="1" showErrorMessage="1" xr:uid="{C07DA75B-889A-46E5-AFFF-D41174FFA155}">
          <x14:formula1>
            <xm:f>'AR-Hierarchy '!$K$4:$K$17</xm:f>
          </x14:formula1>
          <xm:sqref>T5:AC18</xm:sqref>
        </x14:dataValidation>
        <x14:dataValidation type="list" allowBlank="1" showInputMessage="1" showErrorMessage="1" xr:uid="{A3A89455-E563-4C9E-97E4-A40FF052E094}">
          <x14:formula1>
            <xm:f>'AR-Hierarchy '!$H$4:$H$20</xm:f>
          </x14:formula1>
          <xm:sqref>F16</xm:sqref>
        </x14:dataValidation>
        <x14:dataValidation type="list" allowBlank="1" showInputMessage="1" showErrorMessage="1" xr:uid="{863574E7-D5D9-4F5D-91D3-65E91D119AC7}">
          <x14:formula1>
            <xm:f>'AR-Hierarchy '!$I$4:$I$14</xm:f>
          </x14:formula1>
          <xm:sqref>J4:S4</xm:sqref>
        </x14:dataValidation>
        <x14:dataValidation type="list" allowBlank="1" showInputMessage="1" showErrorMessage="1" xr:uid="{043078B0-1196-41A8-ACE2-6662AD8396E3}">
          <x14:formula1>
            <xm:f>'AR-Hierarchy '!$J$14:$J$21</xm:f>
          </x14:formula1>
          <xm:sqref>K5:K18</xm:sqref>
        </x14:dataValidation>
        <x14:dataValidation type="list" allowBlank="1" showInputMessage="1" showErrorMessage="1" xr:uid="{96518F8B-86FE-4B06-B8EB-A8505D32864E}">
          <x14:formula1>
            <xm:f>'AR-Hierarchy '!$J$5:$J$12</xm:f>
          </x14:formula1>
          <xm:sqref>J5:J18</xm:sqref>
        </x14:dataValidation>
        <x14:dataValidation type="list" allowBlank="1" showInputMessage="1" showErrorMessage="1" xr:uid="{EA58EBC2-F3FF-4F20-B692-8A7FF4C61D01}">
          <x14:formula1>
            <xm:f>'AR-Hierarchy '!$J$24:$J$32</xm:f>
          </x14:formula1>
          <xm:sqref>L5:L18</xm:sqref>
        </x14:dataValidation>
        <x14:dataValidation type="list" allowBlank="1" showInputMessage="1" showErrorMessage="1" xr:uid="{0E2F4FB9-AB6D-4AD0-B010-D474BD281520}">
          <x14:formula1>
            <xm:f>'AR-Hierarchy '!$J$35:$J$41</xm:f>
          </x14:formula1>
          <xm:sqref>M17:M18</xm:sqref>
        </x14:dataValidation>
        <x14:dataValidation type="list" allowBlank="1" showInputMessage="1" showErrorMessage="1" xr:uid="{A428F082-13F0-4DD2-914A-ED4041AE503F}">
          <x14:formula1>
            <xm:f>'AR-Hierarchy '!$J$45:$J$51</xm:f>
          </x14:formula1>
          <xm:sqref>N5:N18</xm:sqref>
        </x14:dataValidation>
        <x14:dataValidation type="list" allowBlank="1" showInputMessage="1" showErrorMessage="1" xr:uid="{2042E6C6-A762-4BA1-95C0-ED5B3A266013}">
          <x14:formula1>
            <xm:f>'AR-Hierarchy '!$J$54:$J$60</xm:f>
          </x14:formula1>
          <xm:sqref>O5:O18</xm:sqref>
        </x14:dataValidation>
        <x14:dataValidation type="list" allowBlank="1" showInputMessage="1" showErrorMessage="1" xr:uid="{5F15AF6D-D088-492C-8292-BF32F3FCEC21}">
          <x14:formula1>
            <xm:f>'AR-Hierarchy '!$J$63:$J$68</xm:f>
          </x14:formula1>
          <xm:sqref>P5:P14</xm:sqref>
        </x14:dataValidation>
        <x14:dataValidation type="list" allowBlank="1" showInputMessage="1" showErrorMessage="1" xr:uid="{22A265AE-D10F-4BBE-831C-FE9300C01C81}">
          <x14:formula1>
            <xm:f>'AR-Hierarchy '!$J$72:$J$77</xm:f>
          </x14:formula1>
          <xm:sqref>Q5:Q18</xm:sqref>
        </x14:dataValidation>
        <x14:dataValidation type="list" allowBlank="1" showInputMessage="1" showErrorMessage="1" xr:uid="{FD88F090-AB01-4060-87E4-4E40D6CA8588}">
          <x14:formula1>
            <xm:f>'AR-Hierarchy '!$J$80:$J$83</xm:f>
          </x14:formula1>
          <xm:sqref>R16</xm:sqref>
        </x14:dataValidation>
        <x14:dataValidation type="list" allowBlank="1" showInputMessage="1" showErrorMessage="1" xr:uid="{E346DBB1-3D1E-4F9B-8BDE-49E6E0C54EEB}">
          <x14:formula1>
            <xm:f>'AR-Hierarchy '!$J$86:$J$90</xm:f>
          </x14:formula1>
          <xm:sqref>S5:S14</xm:sqref>
        </x14:dataValidation>
        <x14:dataValidation type="list" allowBlank="1" showInputMessage="1" showErrorMessage="1" xr:uid="{8D8E6C51-0EC3-447A-B7E4-AAA96E552A96}">
          <x14:formula1>
            <xm:f>'AR-Hierarchy '!#REF!</xm:f>
          </x14:formula1>
          <xm:sqref>E5:E14 D11:D12</xm:sqref>
        </x14:dataValidation>
        <x14:dataValidation type="list" allowBlank="1" showInputMessage="1" showErrorMessage="1" xr:uid="{32EE6305-F545-412A-9F39-E7371BD2396B}">
          <x14:formula1>
            <xm:f>'AR-Hierarchy '!$D$17:$D$17</xm:f>
          </x14:formula1>
          <xm:sqref>D5</xm:sqref>
        </x14:dataValidation>
        <x14:dataValidation type="list" allowBlank="1" showInputMessage="1" showErrorMessage="1" xr:uid="{FBCF10CD-2720-4ACF-86E1-1D1711CFA40A}">
          <x14:formula1>
            <xm:f>'AR-Hierarchy '!$D$22:$D$25</xm:f>
          </x14:formula1>
          <xm:sqref>D7:D9</xm:sqref>
        </x14:dataValidation>
        <x14:dataValidation type="list" allowBlank="1" showInputMessage="1" showErrorMessage="1" xr:uid="{58976E61-0B8C-4618-A350-1497355F4E79}">
          <x14:formula1>
            <xm:f>'AR-Hierarchy '!$D$4:$D$33</xm:f>
          </x14:formula1>
          <xm:sqref>D17:D18</xm:sqref>
        </x14:dataValidation>
        <x14:dataValidation type="list" allowBlank="1" showInputMessage="1" showErrorMessage="1" xr:uid="{1641312E-23A8-4DCF-8CFC-6D36A40431BE}">
          <x14:formula1>
            <xm:f>'AR-Hierarchy '!$B$4:$B$53</xm:f>
          </x14:formula1>
          <xm:sqref>C11:C14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I213"/>
  <sheetViews>
    <sheetView topLeftCell="AO1" zoomScale="130" zoomScaleNormal="130" workbookViewId="0">
      <pane ySplit="1" topLeftCell="A47" activePane="bottomLeft" state="frozen"/>
      <selection activeCell="AU1" sqref="AU1"/>
      <selection pane="bottomLeft" activeCell="AQ56" sqref="AQ56"/>
    </sheetView>
  </sheetViews>
  <sheetFormatPr defaultColWidth="8.81640625" defaultRowHeight="14" x14ac:dyDescent="0.3"/>
  <cols>
    <col min="1" max="29" width="35.6328125" style="289" customWidth="1"/>
    <col min="30" max="59" width="35.6328125" style="91" customWidth="1"/>
    <col min="60" max="60" width="8.81640625" style="91" bestFit="1" customWidth="1"/>
    <col min="61" max="61" width="8.81640625" style="91" customWidth="1"/>
    <col min="62" max="62" width="8.81640625" style="91"/>
    <col min="63" max="63" width="11.1796875" style="91" customWidth="1"/>
    <col min="64" max="67" width="8.81640625" style="91"/>
    <col min="68" max="68" width="6.36328125" style="91" bestFit="1" customWidth="1"/>
    <col min="69" max="70" width="8.81640625" style="91"/>
    <col min="71" max="71" width="10.90625" style="91" customWidth="1"/>
    <col min="72" max="72" width="8.81640625" style="290"/>
    <col min="73" max="73" width="9.81640625" style="91" customWidth="1"/>
    <col min="74" max="75" width="8.81640625" style="91"/>
    <col min="76" max="76" width="16.08984375" style="91" customWidth="1"/>
    <col min="77" max="84" width="8.81640625" style="91" bestFit="1" customWidth="1"/>
    <col min="85" max="85" width="12.08984375" style="91" customWidth="1"/>
    <col min="86" max="86" width="10.90625" style="91" customWidth="1"/>
    <col min="87" max="87" width="11.81640625" style="91" customWidth="1"/>
    <col min="88" max="88" width="11" style="91" customWidth="1"/>
    <col min="89" max="89" width="11.453125" style="91" customWidth="1"/>
    <col min="90" max="90" width="12.6328125" style="91" bestFit="1" customWidth="1"/>
    <col min="91" max="91" width="11.1796875" style="91" bestFit="1" customWidth="1"/>
    <col min="92" max="92" width="10.54296875" style="91" customWidth="1"/>
    <col min="93" max="93" width="10.453125" style="91" customWidth="1"/>
    <col min="94" max="94" width="11.1796875" style="91" bestFit="1" customWidth="1"/>
    <col min="95" max="95" width="12.1796875" style="91" customWidth="1"/>
    <col min="96" max="96" width="15.1796875" style="91" customWidth="1"/>
    <col min="97" max="97" width="14.81640625" style="91" customWidth="1"/>
    <col min="98" max="98" width="14.08984375" style="91" customWidth="1"/>
    <col min="99" max="99" width="14.81640625" style="91" customWidth="1"/>
    <col min="100" max="100" width="12.1796875" style="91" customWidth="1"/>
    <col min="101" max="101" width="9.54296875" style="91" customWidth="1"/>
    <col min="102" max="102" width="10.6328125" style="91" customWidth="1"/>
    <col min="103" max="103" width="11.81640625" style="91" customWidth="1"/>
    <col min="104" max="104" width="14.6328125" style="91" customWidth="1"/>
    <col min="105" max="105" width="12.453125" style="91" customWidth="1"/>
    <col min="106" max="106" width="14.81640625" style="91" customWidth="1"/>
    <col min="107" max="107" width="16.36328125" style="91" customWidth="1"/>
    <col min="108" max="108" width="11.1796875" style="91" customWidth="1"/>
    <col min="109" max="112" width="10.6328125" style="91" customWidth="1"/>
    <col min="113" max="113" width="10" style="91" customWidth="1"/>
    <col min="114" max="114" width="10.90625" style="91" customWidth="1"/>
    <col min="115" max="115" width="9.1796875" style="91" bestFit="1" customWidth="1"/>
    <col min="116" max="116" width="10.81640625" style="91" customWidth="1"/>
    <col min="117" max="117" width="8.81640625" style="91" bestFit="1" customWidth="1"/>
    <col min="118" max="118" width="11.36328125" style="91" customWidth="1"/>
    <col min="119" max="120" width="10.81640625" style="91" customWidth="1"/>
    <col min="121" max="121" width="12.36328125" style="91" customWidth="1"/>
    <col min="122" max="122" width="10.81640625" style="91" customWidth="1"/>
    <col min="123" max="123" width="8.90625" style="91" bestFit="1" customWidth="1"/>
    <col min="124" max="124" width="9.1796875" style="91" bestFit="1" customWidth="1"/>
    <col min="125" max="126" width="8.90625" style="91" bestFit="1" customWidth="1"/>
    <col min="127" max="128" width="8.81640625" style="91" customWidth="1"/>
    <col min="129" max="129" width="11.36328125" style="91" customWidth="1"/>
    <col min="130" max="131" width="10.08984375" style="91" customWidth="1"/>
    <col min="132" max="132" width="12.90625" style="91" customWidth="1"/>
    <col min="133" max="134" width="10.08984375" style="91" customWidth="1"/>
    <col min="135" max="136" width="9.453125" style="91" bestFit="1" customWidth="1"/>
    <col min="137" max="138" width="8.81640625" style="91" bestFit="1" customWidth="1"/>
    <col min="139" max="139" width="11.1796875" style="91" bestFit="1" customWidth="1"/>
    <col min="140" max="140" width="12.1796875" style="91" customWidth="1"/>
    <col min="141" max="142" width="11.08984375" style="91" customWidth="1"/>
    <col min="143" max="143" width="13.1796875" style="91" customWidth="1"/>
    <col min="144" max="150" width="11.08984375" style="91" customWidth="1"/>
    <col min="151" max="154" width="11.54296875" style="91" customWidth="1"/>
    <col min="155" max="155" width="11.81640625" style="91" customWidth="1"/>
    <col min="156" max="157" width="12.1796875" style="91" customWidth="1"/>
    <col min="158" max="16384" width="8.81640625" style="91"/>
  </cols>
  <sheetData>
    <row r="1" spans="1:163" ht="27" customHeight="1" thickTop="1" x14ac:dyDescent="0.3">
      <c r="A1" s="621" t="s">
        <v>32</v>
      </c>
      <c r="B1" s="622"/>
      <c r="C1" s="288">
        <v>2023</v>
      </c>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row>
    <row r="2" spans="1:163" ht="43" customHeight="1" thickBot="1" x14ac:dyDescent="0.35">
      <c r="A2" s="584"/>
      <c r="B2" s="585"/>
      <c r="C2" s="585"/>
      <c r="D2" s="585"/>
      <c r="E2" s="585"/>
      <c r="F2" s="585"/>
      <c r="G2" s="585"/>
      <c r="H2" s="585"/>
      <c r="I2" s="586"/>
      <c r="J2" s="585" t="s">
        <v>1418</v>
      </c>
      <c r="K2" s="585"/>
      <c r="L2" s="585"/>
      <c r="M2" s="585"/>
      <c r="N2" s="585"/>
      <c r="O2" s="585"/>
      <c r="P2" s="585"/>
      <c r="Q2" s="585"/>
      <c r="R2" s="585"/>
      <c r="S2" s="585"/>
      <c r="T2" s="624" t="s">
        <v>1398</v>
      </c>
      <c r="U2" s="585"/>
      <c r="V2" s="585"/>
      <c r="W2" s="585"/>
      <c r="X2" s="585"/>
      <c r="Y2" s="585"/>
      <c r="Z2" s="585"/>
      <c r="AA2" s="585"/>
      <c r="AB2" s="585"/>
      <c r="AC2" s="585"/>
      <c r="AD2" s="585"/>
      <c r="AE2" s="585"/>
      <c r="AF2" s="624" t="s">
        <v>1397</v>
      </c>
      <c r="AG2" s="585"/>
      <c r="AH2" s="585"/>
      <c r="AI2" s="585"/>
      <c r="AJ2" s="585"/>
      <c r="AK2" s="585"/>
      <c r="AL2" s="585"/>
      <c r="AM2" s="585"/>
      <c r="AN2" s="585"/>
      <c r="AO2" s="585"/>
      <c r="AP2" s="585"/>
      <c r="AQ2" s="585"/>
      <c r="AR2" s="586"/>
      <c r="AS2" s="592" t="s">
        <v>268</v>
      </c>
      <c r="AT2" s="593"/>
      <c r="AU2" s="593"/>
      <c r="AV2" s="593"/>
      <c r="AW2" s="593"/>
      <c r="AX2" s="593"/>
      <c r="AY2" s="593"/>
      <c r="AZ2" s="593"/>
      <c r="BA2" s="593"/>
      <c r="BB2" s="593"/>
      <c r="BC2" s="593"/>
      <c r="BD2" s="593"/>
      <c r="BE2" s="593"/>
      <c r="BF2" s="593"/>
      <c r="BG2" s="594"/>
      <c r="BH2" s="597" t="s">
        <v>312</v>
      </c>
      <c r="BI2" s="598"/>
      <c r="BJ2" s="598"/>
      <c r="BK2" s="598"/>
      <c r="BL2" s="598"/>
      <c r="BM2" s="598"/>
      <c r="BN2" s="598"/>
      <c r="BO2" s="598"/>
      <c r="BP2" s="598"/>
      <c r="BQ2" s="598"/>
      <c r="BR2" s="598"/>
      <c r="BS2" s="598"/>
      <c r="BT2" s="598"/>
      <c r="BU2" s="348"/>
      <c r="DN2" s="589" t="s">
        <v>828</v>
      </c>
      <c r="DO2" s="589"/>
      <c r="DP2" s="589"/>
      <c r="DQ2" s="589"/>
      <c r="DR2" s="589"/>
      <c r="DS2" s="589"/>
      <c r="DT2" s="589"/>
      <c r="DU2" s="589"/>
      <c r="DV2" s="589"/>
      <c r="DW2" s="589"/>
      <c r="DX2" s="589"/>
      <c r="DY2" s="589"/>
      <c r="DZ2" s="589"/>
      <c r="EA2" s="589"/>
      <c r="EB2" s="589"/>
      <c r="EC2" s="589"/>
      <c r="ED2" s="589"/>
      <c r="EE2" s="589"/>
      <c r="EF2" s="589"/>
      <c r="EG2" s="589"/>
      <c r="EH2" s="589"/>
      <c r="EI2" s="589"/>
      <c r="EJ2" s="93"/>
      <c r="EK2" s="93"/>
      <c r="EL2" s="93"/>
      <c r="EM2" s="93"/>
      <c r="EN2" s="93"/>
      <c r="EO2" s="93"/>
      <c r="EP2" s="93"/>
      <c r="EQ2" s="93"/>
      <c r="ER2" s="93"/>
      <c r="ES2" s="93"/>
      <c r="ET2" s="93"/>
      <c r="EU2" s="590" t="s">
        <v>829</v>
      </c>
      <c r="EV2" s="590"/>
      <c r="EW2" s="590"/>
      <c r="EX2" s="590"/>
      <c r="EY2" s="590"/>
      <c r="EZ2" s="590"/>
      <c r="FA2" s="590"/>
    </row>
    <row r="3" spans="1:163" ht="46.5" customHeight="1" thickTop="1" x14ac:dyDescent="0.3">
      <c r="A3" s="293" t="s">
        <v>0</v>
      </c>
      <c r="B3" s="294" t="s">
        <v>34</v>
      </c>
      <c r="C3" s="294" t="s">
        <v>250</v>
      </c>
      <c r="D3" s="294" t="s">
        <v>251</v>
      </c>
      <c r="E3" s="294" t="s">
        <v>1</v>
      </c>
      <c r="F3" s="294" t="s">
        <v>2</v>
      </c>
      <c r="G3" s="294" t="s">
        <v>252</v>
      </c>
      <c r="H3" s="294" t="s">
        <v>30</v>
      </c>
      <c r="I3" s="294" t="s">
        <v>31</v>
      </c>
      <c r="J3" s="616" t="s">
        <v>253</v>
      </c>
      <c r="K3" s="625"/>
      <c r="L3" s="625"/>
      <c r="M3" s="625"/>
      <c r="N3" s="625"/>
      <c r="O3" s="625"/>
      <c r="P3" s="625"/>
      <c r="Q3" s="625"/>
      <c r="R3" s="625"/>
      <c r="S3" s="626"/>
      <c r="T3" s="616" t="s">
        <v>254</v>
      </c>
      <c r="U3" s="625"/>
      <c r="V3" s="625"/>
      <c r="W3" s="625"/>
      <c r="X3" s="625"/>
      <c r="Y3" s="625"/>
      <c r="Z3" s="625"/>
      <c r="AA3" s="625"/>
      <c r="AB3" s="625"/>
      <c r="AC3" s="626"/>
      <c r="AD3" s="616" t="s">
        <v>255</v>
      </c>
      <c r="AE3" s="626"/>
      <c r="AF3" s="294" t="s">
        <v>259</v>
      </c>
      <c r="AG3" s="603" t="s">
        <v>38</v>
      </c>
      <c r="AH3" s="604"/>
      <c r="AI3" s="603" t="s">
        <v>261</v>
      </c>
      <c r="AJ3" s="591"/>
      <c r="AK3" s="296"/>
      <c r="AL3" s="296"/>
      <c r="AM3" s="591" t="s">
        <v>262</v>
      </c>
      <c r="AN3" s="591"/>
      <c r="AO3" s="591" t="s">
        <v>263</v>
      </c>
      <c r="AP3" s="591" t="s">
        <v>326</v>
      </c>
      <c r="AQ3" s="604" t="s">
        <v>33</v>
      </c>
      <c r="AR3" s="609" t="s">
        <v>264</v>
      </c>
      <c r="AS3" s="609" t="s">
        <v>265</v>
      </c>
      <c r="AT3" s="609" t="s">
        <v>266</v>
      </c>
      <c r="AU3" s="603" t="s">
        <v>53</v>
      </c>
      <c r="AV3" s="591"/>
      <c r="AW3" s="591"/>
      <c r="AX3" s="591"/>
      <c r="AY3" s="591"/>
      <c r="AZ3" s="591"/>
      <c r="BA3" s="591"/>
      <c r="BB3" s="591"/>
      <c r="BC3" s="591"/>
      <c r="BD3" s="604"/>
      <c r="BE3" s="609" t="s">
        <v>1581</v>
      </c>
      <c r="BF3" s="609"/>
      <c r="BG3" s="295" t="s">
        <v>1442</v>
      </c>
      <c r="BH3" s="605" t="s">
        <v>299</v>
      </c>
      <c r="BI3" s="605" t="s">
        <v>300</v>
      </c>
      <c r="BJ3" s="605" t="s">
        <v>301</v>
      </c>
      <c r="BK3" s="605" t="s">
        <v>302</v>
      </c>
      <c r="BL3" s="605" t="s">
        <v>303</v>
      </c>
      <c r="BM3" s="605" t="s">
        <v>304</v>
      </c>
      <c r="BN3" s="605" t="s">
        <v>305</v>
      </c>
      <c r="BO3" s="605" t="s">
        <v>306</v>
      </c>
      <c r="BP3" s="605" t="s">
        <v>307</v>
      </c>
      <c r="BQ3" s="605" t="s">
        <v>308</v>
      </c>
      <c r="BR3" s="605" t="s">
        <v>309</v>
      </c>
      <c r="BS3" s="605" t="s">
        <v>310</v>
      </c>
      <c r="BT3" s="616" t="s">
        <v>311</v>
      </c>
      <c r="BU3" s="617" t="s">
        <v>1428</v>
      </c>
      <c r="BZ3" s="299" t="s">
        <v>809</v>
      </c>
      <c r="CG3" s="590" t="s">
        <v>816</v>
      </c>
      <c r="CH3" s="590"/>
      <c r="CI3" s="590"/>
      <c r="CJ3" s="590"/>
      <c r="CK3" s="590"/>
      <c r="CL3" s="590"/>
      <c r="CM3" s="590"/>
      <c r="CN3" s="590"/>
      <c r="CO3" s="590"/>
      <c r="CP3" s="590"/>
      <c r="CQ3" s="590"/>
      <c r="CR3" s="620" t="s">
        <v>262</v>
      </c>
      <c r="CS3" s="620"/>
      <c r="CT3" s="620"/>
      <c r="CU3" s="620"/>
      <c r="CV3" s="620"/>
      <c r="CW3" s="620"/>
      <c r="CX3" s="620"/>
      <c r="CY3" s="620"/>
      <c r="CZ3" s="620"/>
      <c r="DA3" s="620"/>
      <c r="DB3" s="620"/>
      <c r="DC3" s="292"/>
      <c r="DD3" s="590" t="s">
        <v>825</v>
      </c>
      <c r="DE3" s="590"/>
      <c r="DF3" s="590"/>
      <c r="DG3" s="590"/>
      <c r="DH3" s="590"/>
      <c r="DI3" s="590"/>
      <c r="DJ3" s="590"/>
      <c r="DK3" s="590"/>
      <c r="DL3" s="590"/>
      <c r="DM3" s="590"/>
      <c r="DN3" s="620" t="s">
        <v>827</v>
      </c>
      <c r="DO3" s="620"/>
      <c r="DP3" s="620"/>
      <c r="DQ3" s="620"/>
      <c r="DR3" s="620"/>
      <c r="DS3" s="620"/>
      <c r="DT3" s="620"/>
      <c r="DU3" s="620"/>
      <c r="DV3" s="620"/>
      <c r="DW3" s="620"/>
      <c r="DX3" s="620"/>
      <c r="DY3" s="590" t="s">
        <v>826</v>
      </c>
      <c r="DZ3" s="590"/>
      <c r="EA3" s="590"/>
      <c r="EB3" s="590"/>
      <c r="EC3" s="590"/>
      <c r="ED3" s="590"/>
      <c r="EE3" s="590"/>
      <c r="EF3" s="590"/>
      <c r="EG3" s="590"/>
      <c r="EH3" s="590"/>
      <c r="EI3" s="590"/>
      <c r="EJ3" s="620" t="s">
        <v>833</v>
      </c>
      <c r="EK3" s="620"/>
      <c r="EL3" s="620"/>
      <c r="EM3" s="620"/>
      <c r="EN3" s="620"/>
      <c r="EO3" s="620"/>
      <c r="EP3" s="620"/>
      <c r="EQ3" s="620"/>
      <c r="ER3" s="620"/>
      <c r="ES3" s="620"/>
      <c r="ET3" s="620"/>
      <c r="EU3" s="619" t="s">
        <v>1026</v>
      </c>
      <c r="EV3" s="619" t="s">
        <v>1022</v>
      </c>
      <c r="EW3" s="619" t="s">
        <v>1023</v>
      </c>
      <c r="EX3" s="619" t="s">
        <v>1027</v>
      </c>
      <c r="EY3" s="619" t="s">
        <v>1024</v>
      </c>
      <c r="EZ3" s="619" t="s">
        <v>1025</v>
      </c>
      <c r="FA3" s="619" t="s">
        <v>33</v>
      </c>
    </row>
    <row r="4" spans="1:163" ht="32" customHeight="1" thickBot="1" x14ac:dyDescent="0.35">
      <c r="A4" s="300"/>
      <c r="B4" s="301"/>
      <c r="C4" s="302"/>
      <c r="D4" s="302"/>
      <c r="E4" s="302"/>
      <c r="F4" s="302"/>
      <c r="G4" s="302"/>
      <c r="H4" s="302"/>
      <c r="I4" s="302"/>
      <c r="J4" s="302" t="s">
        <v>105</v>
      </c>
      <c r="K4" s="302" t="s">
        <v>106</v>
      </c>
      <c r="L4" s="302" t="s">
        <v>107</v>
      </c>
      <c r="M4" s="302" t="s">
        <v>108</v>
      </c>
      <c r="N4" s="302" t="s">
        <v>109</v>
      </c>
      <c r="O4" s="302" t="s">
        <v>120</v>
      </c>
      <c r="P4" s="302" t="s">
        <v>111</v>
      </c>
      <c r="Q4" s="302" t="s">
        <v>112</v>
      </c>
      <c r="R4" s="302" t="s">
        <v>113</v>
      </c>
      <c r="S4" s="302" t="s">
        <v>110</v>
      </c>
      <c r="T4" s="302" t="s">
        <v>935</v>
      </c>
      <c r="U4" s="302" t="s">
        <v>936</v>
      </c>
      <c r="V4" s="302" t="s">
        <v>937</v>
      </c>
      <c r="W4" s="302" t="s">
        <v>938</v>
      </c>
      <c r="X4" s="302" t="s">
        <v>939</v>
      </c>
      <c r="Y4" s="302" t="s">
        <v>120</v>
      </c>
      <c r="Z4" s="302" t="s">
        <v>111</v>
      </c>
      <c r="AA4" s="302" t="s">
        <v>112</v>
      </c>
      <c r="AB4" s="302" t="s">
        <v>113</v>
      </c>
      <c r="AC4" s="349" t="s">
        <v>110</v>
      </c>
      <c r="AD4" s="302" t="s">
        <v>256</v>
      </c>
      <c r="AE4" s="302" t="s">
        <v>257</v>
      </c>
      <c r="AF4" s="302"/>
      <c r="AG4" s="302" t="s">
        <v>38</v>
      </c>
      <c r="AH4" s="302" t="s">
        <v>260</v>
      </c>
      <c r="AI4" s="302" t="s">
        <v>261</v>
      </c>
      <c r="AJ4" s="302" t="s">
        <v>260</v>
      </c>
      <c r="AK4" s="302" t="s">
        <v>715</v>
      </c>
      <c r="AL4" s="302" t="s">
        <v>716</v>
      </c>
      <c r="AM4" s="302" t="s">
        <v>262</v>
      </c>
      <c r="AN4" s="302" t="s">
        <v>260</v>
      </c>
      <c r="AO4" s="607"/>
      <c r="AP4" s="607"/>
      <c r="AQ4" s="608"/>
      <c r="AR4" s="610"/>
      <c r="AS4" s="629"/>
      <c r="AT4" s="610"/>
      <c r="AU4" s="302" t="s">
        <v>164</v>
      </c>
      <c r="AV4" s="302" t="s">
        <v>36</v>
      </c>
      <c r="AW4" s="302" t="s">
        <v>5</v>
      </c>
      <c r="AX4" s="302" t="s">
        <v>3</v>
      </c>
      <c r="AY4" s="302" t="s">
        <v>165</v>
      </c>
      <c r="AZ4" s="302" t="s">
        <v>166</v>
      </c>
      <c r="BA4" s="302" t="s">
        <v>1578</v>
      </c>
      <c r="BB4" s="302"/>
      <c r="BC4" s="302"/>
      <c r="BD4" s="302"/>
      <c r="BE4" s="610"/>
      <c r="BF4" s="610"/>
      <c r="BG4" s="345" t="s">
        <v>37</v>
      </c>
      <c r="BH4" s="606"/>
      <c r="BI4" s="606"/>
      <c r="BJ4" s="606"/>
      <c r="BK4" s="606"/>
      <c r="BL4" s="606"/>
      <c r="BM4" s="606"/>
      <c r="BN4" s="606"/>
      <c r="BO4" s="606"/>
      <c r="BP4" s="606"/>
      <c r="BQ4" s="606"/>
      <c r="BR4" s="606"/>
      <c r="BS4" s="606"/>
      <c r="BT4" s="592"/>
      <c r="BU4" s="628"/>
      <c r="BX4" s="305"/>
      <c r="BY4" s="306" t="str">
        <f>'AR-Hierarchy '!K4</f>
        <v>Basic Design</v>
      </c>
      <c r="BZ4" s="306" t="str">
        <f>'AR-Hierarchy '!K5</f>
        <v>Standard Design</v>
      </c>
      <c r="CA4" s="306" t="str">
        <f>'AR-Hierarchy '!K6</f>
        <v xml:space="preserve">Superior Design </v>
      </c>
      <c r="CB4" s="306" t="str">
        <f>'AR-Hierarchy '!K7</f>
        <v>None</v>
      </c>
      <c r="CC4" s="306" t="str">
        <f>BY4</f>
        <v>Basic Design</v>
      </c>
      <c r="CD4" s="306" t="str">
        <f>BZ4</f>
        <v>Standard Design</v>
      </c>
      <c r="CE4" s="306" t="str">
        <f>CA4</f>
        <v xml:space="preserve">Superior Design </v>
      </c>
      <c r="CF4" s="305" t="s">
        <v>117</v>
      </c>
      <c r="CG4" s="307" t="str">
        <f>BX5</f>
        <v>Substructure</v>
      </c>
      <c r="CH4" s="308" t="str">
        <f>BX6</f>
        <v>Structure</v>
      </c>
      <c r="CI4" s="308" t="str">
        <f>BX7</f>
        <v>Roofing</v>
      </c>
      <c r="CJ4" s="307" t="str">
        <f>BX8</f>
        <v>Exterior Wall Cladding</v>
      </c>
      <c r="CK4" s="308" t="str">
        <f>BX9</f>
        <v>Fitouts</v>
      </c>
      <c r="CL4" s="309" t="str">
        <f>BX10</f>
        <v>Floor Covering</v>
      </c>
      <c r="CM4" s="310" t="str">
        <f>BX11</f>
        <v>Service Mechanical</v>
      </c>
      <c r="CN4" s="310" t="str">
        <f>BX12</f>
        <v>Services Electrical</v>
      </c>
      <c r="CO4" s="310" t="str">
        <f>BX13</f>
        <v>Services Sanitation</v>
      </c>
      <c r="CP4" s="310" t="str">
        <f>BX14</f>
        <v>Services Water</v>
      </c>
      <c r="CQ4" s="310" t="s">
        <v>1415</v>
      </c>
      <c r="CR4" s="306" t="str">
        <f>CG4</f>
        <v>Substructure</v>
      </c>
      <c r="CS4" s="306" t="str">
        <f t="shared" ref="CS4:DA4" si="0">CH4</f>
        <v>Structure</v>
      </c>
      <c r="CT4" s="306" t="str">
        <f t="shared" si="0"/>
        <v>Roofing</v>
      </c>
      <c r="CU4" s="306" t="str">
        <f t="shared" si="0"/>
        <v>Exterior Wall Cladding</v>
      </c>
      <c r="CV4" s="306" t="str">
        <f t="shared" si="0"/>
        <v>Fitouts</v>
      </c>
      <c r="CW4" s="306" t="str">
        <f t="shared" si="0"/>
        <v>Floor Covering</v>
      </c>
      <c r="CX4" s="306" t="str">
        <f t="shared" si="0"/>
        <v>Service Mechanical</v>
      </c>
      <c r="CY4" s="306" t="str">
        <f t="shared" si="0"/>
        <v>Services Electrical</v>
      </c>
      <c r="CZ4" s="306" t="str">
        <f t="shared" si="0"/>
        <v>Services Sanitation</v>
      </c>
      <c r="DA4" s="306" t="str">
        <f t="shared" si="0"/>
        <v>Services Water</v>
      </c>
      <c r="DB4" s="306" t="s">
        <v>824</v>
      </c>
      <c r="DC4" s="307" t="s">
        <v>1028</v>
      </c>
      <c r="DD4" s="307" t="str">
        <f>CR4</f>
        <v>Substructure</v>
      </c>
      <c r="DE4" s="307" t="str">
        <f t="shared" ref="DE4:DM4" si="1">CS4</f>
        <v>Structure</v>
      </c>
      <c r="DF4" s="307" t="str">
        <f t="shared" si="1"/>
        <v>Roofing</v>
      </c>
      <c r="DG4" s="307" t="str">
        <f t="shared" si="1"/>
        <v>Exterior Wall Cladding</v>
      </c>
      <c r="DH4" s="307" t="str">
        <f t="shared" si="1"/>
        <v>Fitouts</v>
      </c>
      <c r="DI4" s="307" t="str">
        <f t="shared" si="1"/>
        <v>Floor Covering</v>
      </c>
      <c r="DJ4" s="307" t="str">
        <f t="shared" si="1"/>
        <v>Service Mechanical</v>
      </c>
      <c r="DK4" s="307" t="str">
        <f t="shared" si="1"/>
        <v>Services Electrical</v>
      </c>
      <c r="DL4" s="307" t="str">
        <f t="shared" si="1"/>
        <v>Services Sanitation</v>
      </c>
      <c r="DM4" s="307" t="str">
        <f t="shared" si="1"/>
        <v>Services Water</v>
      </c>
      <c r="DN4" s="311" t="str">
        <f>DD4</f>
        <v>Substructure</v>
      </c>
      <c r="DO4" s="311" t="str">
        <f t="shared" ref="DO4:DW4" si="2">DE4</f>
        <v>Structure</v>
      </c>
      <c r="DP4" s="311" t="str">
        <f t="shared" si="2"/>
        <v>Roofing</v>
      </c>
      <c r="DQ4" s="311" t="str">
        <f t="shared" si="2"/>
        <v>Exterior Wall Cladding</v>
      </c>
      <c r="DR4" s="311" t="str">
        <f t="shared" si="2"/>
        <v>Fitouts</v>
      </c>
      <c r="DS4" s="311" t="str">
        <f t="shared" si="2"/>
        <v>Floor Covering</v>
      </c>
      <c r="DT4" s="311" t="str">
        <f t="shared" si="2"/>
        <v>Service Mechanical</v>
      </c>
      <c r="DU4" s="311" t="str">
        <f t="shared" si="2"/>
        <v>Services Electrical</v>
      </c>
      <c r="DV4" s="311" t="str">
        <f t="shared" si="2"/>
        <v>Services Sanitation</v>
      </c>
      <c r="DW4" s="311" t="str">
        <f t="shared" si="2"/>
        <v>Services Water</v>
      </c>
      <c r="DX4" s="311" t="s">
        <v>1021</v>
      </c>
      <c r="DY4" s="310" t="str">
        <f>DN4</f>
        <v>Substructure</v>
      </c>
      <c r="DZ4" s="310" t="str">
        <f t="shared" ref="DZ4:EH4" si="3">DO4</f>
        <v>Structure</v>
      </c>
      <c r="EA4" s="310" t="str">
        <f t="shared" si="3"/>
        <v>Roofing</v>
      </c>
      <c r="EB4" s="310" t="str">
        <f t="shared" si="3"/>
        <v>Exterior Wall Cladding</v>
      </c>
      <c r="EC4" s="310" t="str">
        <f t="shared" si="3"/>
        <v>Fitouts</v>
      </c>
      <c r="ED4" s="310" t="str">
        <f t="shared" si="3"/>
        <v>Floor Covering</v>
      </c>
      <c r="EE4" s="310" t="str">
        <f t="shared" si="3"/>
        <v>Service Mechanical</v>
      </c>
      <c r="EF4" s="310" t="str">
        <f t="shared" si="3"/>
        <v>Services Electrical</v>
      </c>
      <c r="EG4" s="310" t="str">
        <f t="shared" si="3"/>
        <v>Services Sanitation</v>
      </c>
      <c r="EH4" s="310" t="str">
        <f t="shared" si="3"/>
        <v>Services Water</v>
      </c>
      <c r="EI4" s="310" t="s">
        <v>1021</v>
      </c>
      <c r="EJ4" s="311" t="str">
        <f>DY4</f>
        <v>Substructure</v>
      </c>
      <c r="EK4" s="311" t="str">
        <f t="shared" ref="EK4:ES4" si="4">DZ4</f>
        <v>Structure</v>
      </c>
      <c r="EL4" s="311" t="str">
        <f t="shared" si="4"/>
        <v>Roofing</v>
      </c>
      <c r="EM4" s="311" t="str">
        <f t="shared" si="4"/>
        <v>Exterior Wall Cladding</v>
      </c>
      <c r="EN4" s="311" t="str">
        <f t="shared" si="4"/>
        <v>Fitouts</v>
      </c>
      <c r="EO4" s="311" t="str">
        <f t="shared" si="4"/>
        <v>Floor Covering</v>
      </c>
      <c r="EP4" s="311" t="str">
        <f t="shared" si="4"/>
        <v>Service Mechanical</v>
      </c>
      <c r="EQ4" s="311" t="str">
        <f t="shared" si="4"/>
        <v>Services Electrical</v>
      </c>
      <c r="ER4" s="311" t="str">
        <f t="shared" si="4"/>
        <v>Services Sanitation</v>
      </c>
      <c r="ES4" s="311" t="str">
        <f t="shared" si="4"/>
        <v>Services Water</v>
      </c>
      <c r="ET4" s="311" t="s">
        <v>52</v>
      </c>
      <c r="EU4" s="619"/>
      <c r="EV4" s="619"/>
      <c r="EW4" s="619"/>
      <c r="EX4" s="619"/>
      <c r="EY4" s="619"/>
      <c r="EZ4" s="619"/>
      <c r="FA4" s="619"/>
      <c r="FC4" s="631" t="s">
        <v>1587</v>
      </c>
      <c r="FD4" s="631"/>
      <c r="FE4" s="631"/>
      <c r="FF4" s="631"/>
      <c r="FG4" s="631"/>
    </row>
    <row r="5" spans="1:163" ht="35" customHeight="1" thickTop="1" x14ac:dyDescent="0.3">
      <c r="A5" s="312" t="s">
        <v>1716</v>
      </c>
      <c r="B5" s="313" t="s">
        <v>1181</v>
      </c>
      <c r="C5" s="314" t="s">
        <v>72</v>
      </c>
      <c r="D5" s="313" t="s">
        <v>321</v>
      </c>
      <c r="E5" s="313" t="s">
        <v>8</v>
      </c>
      <c r="F5" s="313" t="s">
        <v>947</v>
      </c>
      <c r="G5" s="313" t="s">
        <v>1183</v>
      </c>
      <c r="H5" s="313" t="s">
        <v>881</v>
      </c>
      <c r="I5" s="313" t="s">
        <v>882</v>
      </c>
      <c r="J5" s="313" t="s">
        <v>1043</v>
      </c>
      <c r="K5" s="313" t="s">
        <v>1049</v>
      </c>
      <c r="L5" s="313" t="s">
        <v>1055</v>
      </c>
      <c r="M5" s="313" t="s">
        <v>1060</v>
      </c>
      <c r="N5" s="313" t="s">
        <v>1069</v>
      </c>
      <c r="O5" s="313" t="s">
        <v>1072</v>
      </c>
      <c r="P5" s="313" t="s">
        <v>1079</v>
      </c>
      <c r="Q5" s="313" t="s">
        <v>1080</v>
      </c>
      <c r="R5" s="313" t="s">
        <v>1086</v>
      </c>
      <c r="S5" s="313" t="s">
        <v>1089</v>
      </c>
      <c r="T5" s="313" t="s">
        <v>102</v>
      </c>
      <c r="U5" s="313" t="s">
        <v>102</v>
      </c>
      <c r="V5" s="313" t="s">
        <v>104</v>
      </c>
      <c r="W5" s="313" t="s">
        <v>104</v>
      </c>
      <c r="X5" s="313" t="s">
        <v>104</v>
      </c>
      <c r="Y5" s="313" t="s">
        <v>104</v>
      </c>
      <c r="Z5" s="313" t="s">
        <v>104</v>
      </c>
      <c r="AA5" s="313" t="s">
        <v>104</v>
      </c>
      <c r="AB5" s="313" t="s">
        <v>104</v>
      </c>
      <c r="AC5" s="313" t="s">
        <v>104</v>
      </c>
      <c r="AD5" s="313" t="s">
        <v>1771</v>
      </c>
      <c r="AE5" s="313">
        <v>1650</v>
      </c>
      <c r="AF5" s="313">
        <v>40</v>
      </c>
      <c r="AG5" s="313">
        <v>2016</v>
      </c>
      <c r="AH5" s="313" t="s">
        <v>800</v>
      </c>
      <c r="AI5" s="313">
        <f>AG5</f>
        <v>2016</v>
      </c>
      <c r="AJ5" s="313" t="str">
        <f>AH5</f>
        <v>Estimated</v>
      </c>
      <c r="AK5" s="313"/>
      <c r="AL5" s="313"/>
      <c r="AM5" s="315">
        <f>DB5+EV5</f>
        <v>2775239.6903255978</v>
      </c>
      <c r="AN5" s="313" t="s">
        <v>800</v>
      </c>
      <c r="AO5" s="509">
        <f>EI5+EZ5</f>
        <v>494220.76677031192</v>
      </c>
      <c r="AP5" s="509">
        <f>AM5-AO5</f>
        <v>2281018.9235552857</v>
      </c>
      <c r="AQ5" s="509">
        <f>ET5+FA5</f>
        <v>82370.127795051972</v>
      </c>
      <c r="AR5" s="509">
        <f>AP5-AQ5</f>
        <v>2198648.7957602339</v>
      </c>
      <c r="AS5" s="509">
        <f>HLOOKUP($C$1,'Inflation Adjustments'!$BI$3:$BT$4,2)*CQ5</f>
        <v>4495109.30859375</v>
      </c>
      <c r="AT5" s="511">
        <f>IF(BU5="In Service",'Maintenace Cost Assumptions'!$B$3*AS5,0)</f>
        <v>22475.54654296875</v>
      </c>
      <c r="AU5" s="314">
        <v>4</v>
      </c>
      <c r="AV5" s="313">
        <v>4</v>
      </c>
      <c r="AW5" s="313">
        <v>4</v>
      </c>
      <c r="AX5" s="313">
        <v>4</v>
      </c>
      <c r="AY5" s="313">
        <v>4</v>
      </c>
      <c r="AZ5" s="313">
        <v>4</v>
      </c>
      <c r="BA5" s="313">
        <v>2</v>
      </c>
      <c r="BB5" s="313"/>
      <c r="BC5" s="313"/>
      <c r="BD5" s="313"/>
      <c r="BE5" s="313">
        <v>4</v>
      </c>
      <c r="BF5" s="313"/>
      <c r="BG5" s="319">
        <f>(AU5*'Condition rating weights'!H$8+AV5*'Condition rating weights'!I$8+AW5*'Condition rating weights'!J$8+AX5*'Condition rating weights'!K$8+AY5*'Condition rating weights'!L$8+AZ5*'Condition rating weights'!M$8+BA5*'Condition rating weights'!N$8+BB5*'Condition rating weights'!O$8+BC5*'Condition rating weights'!P$8+BD5*'Condition rating weights'!Q$8+BE5*'Condition rating weights'!R$8+BF5*'Condition rating weights'!S$8)/100</f>
        <v>0.76</v>
      </c>
      <c r="BH5" s="320">
        <v>2</v>
      </c>
      <c r="BI5" s="320">
        <v>421</v>
      </c>
      <c r="BJ5" s="320" t="s">
        <v>12</v>
      </c>
      <c r="BK5" s="320" t="s">
        <v>959</v>
      </c>
      <c r="BL5" s="320" t="s">
        <v>960</v>
      </c>
      <c r="BM5" s="320" t="s">
        <v>1015</v>
      </c>
      <c r="BN5" s="320" t="s">
        <v>117</v>
      </c>
      <c r="BO5" s="320" t="s">
        <v>962</v>
      </c>
      <c r="BP5" s="320" t="s">
        <v>962</v>
      </c>
      <c r="BQ5" s="320" t="s">
        <v>963</v>
      </c>
      <c r="BR5" s="320" t="s">
        <v>964</v>
      </c>
      <c r="BS5" s="320" t="s">
        <v>964</v>
      </c>
      <c r="BT5" s="321" t="s">
        <v>965</v>
      </c>
      <c r="BU5" s="335" t="s">
        <v>1429</v>
      </c>
      <c r="BV5" s="282"/>
      <c r="BW5" s="282"/>
      <c r="BX5" s="311" t="str">
        <f>'GRC and TUL Assumptions'!A5</f>
        <v>Substructure</v>
      </c>
      <c r="BY5" s="350">
        <f>'GRC and TUL Assumptions'!C5</f>
        <v>150</v>
      </c>
      <c r="BZ5" s="350">
        <f>'GRC and TUL Assumptions'!D5</f>
        <v>200</v>
      </c>
      <c r="CA5" s="350">
        <f>'GRC and TUL Assumptions'!E5</f>
        <v>300</v>
      </c>
      <c r="CB5" s="350">
        <v>0</v>
      </c>
      <c r="CC5" s="350">
        <f>'GRC and TUL Assumptions'!F5</f>
        <v>40</v>
      </c>
      <c r="CD5" s="350">
        <f>'GRC and TUL Assumptions'!G5</f>
        <v>60</v>
      </c>
      <c r="CE5" s="350">
        <f>'GRC and TUL Assumptions'!H5</f>
        <v>60</v>
      </c>
      <c r="CF5" s="350">
        <f>CC5</f>
        <v>40</v>
      </c>
      <c r="CG5" s="351">
        <f t="shared" ref="CG5:CG47" si="5">(HLOOKUP(T5,$BY$4:$CB$14,2,TRUE))*$AE5</f>
        <v>247500</v>
      </c>
      <c r="CH5" s="351">
        <f t="shared" ref="CH5:CH47" si="6">(HLOOKUP(U5,$BY$4:$CC$14,3,TRUE))*$AE5</f>
        <v>825000</v>
      </c>
      <c r="CI5" s="351">
        <f t="shared" ref="CI5:CI47" si="7">(HLOOKUP(V5,$BY$4:$CC$14,4,TRUE))*$AE5/BH5</f>
        <v>123750</v>
      </c>
      <c r="CJ5" s="351">
        <f t="shared" ref="CJ5:CJ47" si="8">(HLOOKUP(W5,$BY$4:$CC$14,5,FALSE))*$AE5</f>
        <v>379500</v>
      </c>
      <c r="CK5" s="351">
        <f t="shared" ref="CK5:CK47" si="9">(HLOOKUP(X5,$BY$4:$CC$14,6,FALSE))*$AE5</f>
        <v>577500</v>
      </c>
      <c r="CL5" s="351">
        <f t="shared" ref="CL5:CL47" si="10">(HLOOKUP(Y5,$BY$4:$CC$14,7,FALSE))*$AE5</f>
        <v>247500</v>
      </c>
      <c r="CM5" s="351">
        <f t="shared" ref="CM5:CM47" si="11">(HLOOKUP(Z5,$BY$4:$CC$14,8,FALSE))*$AE5</f>
        <v>165000</v>
      </c>
      <c r="CN5" s="351">
        <f t="shared" ref="CN5:CN47" si="12">(HLOOKUP(AA5,$BY$4:$CC$14,9,FALSE))*$AE5</f>
        <v>165000</v>
      </c>
      <c r="CO5" s="351">
        <f t="shared" ref="CO5:CO47" si="13">(HLOOKUP(AB5,$BY$4:$CC$14,10,FALSE))*$AE5</f>
        <v>214500</v>
      </c>
      <c r="CP5" s="351">
        <f t="shared" ref="CP5:CP47" si="14">(HLOOKUP(AC5,$BY$4:$CC$14,11,FALSE))*$AE5</f>
        <v>66000</v>
      </c>
      <c r="CQ5" s="352">
        <f>SUM(CG5:CP5)</f>
        <v>3011250</v>
      </c>
      <c r="CR5" s="353">
        <f>(HLOOKUP($AI5,'Inflation Adjustments'!$B$3:$BT$4,2,TRUE))*CG5</f>
        <v>228101.89235552854</v>
      </c>
      <c r="CS5" s="353">
        <f>(HLOOKUP($AI5,'Inflation Adjustments'!$B$3:$BT$4,2,TRUE))*CH5</f>
        <v>760339.64118509518</v>
      </c>
      <c r="CT5" s="353">
        <f>(HLOOKUP($AI5,'Inflation Adjustments'!$B$3:$BT$4,2,TRUE))*CI5</f>
        <v>114050.94617776427</v>
      </c>
      <c r="CU5" s="353">
        <f>(HLOOKUP($AI5,'Inflation Adjustments'!$B$3:$BT$4,2,TRUE))*CJ5</f>
        <v>349756.23494514381</v>
      </c>
      <c r="CV5" s="353">
        <f>(HLOOKUP($AI5,'Inflation Adjustments'!$B$3:$BT$4,2,TRUE))*CK5</f>
        <v>532237.74882956664</v>
      </c>
      <c r="CW5" s="353">
        <f>(HLOOKUP($AI5,'Inflation Adjustments'!$B$3:$BT$4,2,TRUE))*CL5</f>
        <v>228101.89235552854</v>
      </c>
      <c r="CX5" s="353">
        <f>(HLOOKUP($AI5,'Inflation Adjustments'!$B$3:$BT$4,2,TRUE))*CM5</f>
        <v>152067.92823701905</v>
      </c>
      <c r="CY5" s="353">
        <f>(HLOOKUP($AI5,'Inflation Adjustments'!$B$3:$BT$4,2,TRUE))*CN5</f>
        <v>152067.92823701905</v>
      </c>
      <c r="CZ5" s="353">
        <f>(HLOOKUP($AI5,'Inflation Adjustments'!$B$3:$BT$4,2,TRUE))*CO5</f>
        <v>197688.30670812476</v>
      </c>
      <c r="DA5" s="353">
        <f>(HLOOKUP($AI5,'Inflation Adjustments'!$B$3:$BT$4,2,TRUE))*CP5</f>
        <v>60827.171294807617</v>
      </c>
      <c r="DB5" s="353">
        <f>SUM(CR5:DA5)</f>
        <v>2775239.6903255978</v>
      </c>
      <c r="DC5" s="354">
        <f t="shared" ref="DC5:DC15" si="15">$C$1-AI5-1</f>
        <v>6</v>
      </c>
      <c r="DD5" s="351">
        <f t="shared" ref="DD5:DD47" si="16">(HLOOKUP(T5,$CC$4:$CF$14,2,FALSE))</f>
        <v>40</v>
      </c>
      <c r="DE5" s="351">
        <f t="shared" ref="DE5:DE47" si="17">(HLOOKUP(U5,$CC$4:$CF$14,3,FALSE))</f>
        <v>40</v>
      </c>
      <c r="DF5" s="351">
        <f t="shared" ref="DF5:DF47" si="18">(HLOOKUP(V5,$CC$4:$CF$14,4,FALSE))</f>
        <v>20</v>
      </c>
      <c r="DG5" s="351">
        <f t="shared" ref="DG5:DG47" si="19">(HLOOKUP(W5,$CC$4:$CF$14,5,FALSE))</f>
        <v>30</v>
      </c>
      <c r="DH5" s="351">
        <f t="shared" ref="DH5:DH47" si="20">(HLOOKUP(X5,$CC$4:$CF$14,6,FALSE))</f>
        <v>60</v>
      </c>
      <c r="DI5" s="351">
        <f t="shared" ref="DI5:DI47" si="21">(HLOOKUP(Y5,$CC$4:$CF$14,7,FALSE))</f>
        <v>30</v>
      </c>
      <c r="DJ5" s="351">
        <f t="shared" ref="DJ5:DJ47" si="22">(HLOOKUP(Z5,$CC$4:$CF$14,8,FALSE))</f>
        <v>20</v>
      </c>
      <c r="DK5" s="351">
        <f t="shared" ref="DK5:DK47" si="23">(HLOOKUP(AA5,$CC$4:$CF$14,8,FALSE))</f>
        <v>20</v>
      </c>
      <c r="DL5" s="351">
        <f t="shared" ref="DL5:DL47" si="24">(HLOOKUP(AB5,$CC$4:$CF$14,9))</f>
        <v>30</v>
      </c>
      <c r="DM5" s="351">
        <f t="shared" ref="DM5:DM47" si="25">(HLOOKUP(AC5,$CC$4:$CF$14,10))</f>
        <v>30</v>
      </c>
      <c r="DN5" s="355">
        <f t="shared" ref="DN5:DN29" si="26">CR5/DD5</f>
        <v>5702.5473088882136</v>
      </c>
      <c r="DO5" s="355">
        <f t="shared" ref="DO5:DW20" si="27">CS5/DE5</f>
        <v>19008.491029627381</v>
      </c>
      <c r="DP5" s="355">
        <f t="shared" si="27"/>
        <v>5702.5473088882136</v>
      </c>
      <c r="DQ5" s="355">
        <f t="shared" si="27"/>
        <v>11658.541164838127</v>
      </c>
      <c r="DR5" s="355">
        <f t="shared" si="27"/>
        <v>8870.6291471594432</v>
      </c>
      <c r="DS5" s="355">
        <f t="shared" si="27"/>
        <v>7603.3964118509512</v>
      </c>
      <c r="DT5" s="355">
        <f t="shared" si="27"/>
        <v>7603.3964118509521</v>
      </c>
      <c r="DU5" s="355">
        <f t="shared" si="27"/>
        <v>7603.3964118509521</v>
      </c>
      <c r="DV5" s="355">
        <f t="shared" si="27"/>
        <v>6589.6102236041588</v>
      </c>
      <c r="DW5" s="355">
        <f t="shared" si="27"/>
        <v>2027.5723764935872</v>
      </c>
      <c r="DX5" s="355">
        <f>SUM(DN5:DW5)</f>
        <v>82370.127795051972</v>
      </c>
      <c r="DY5" s="351">
        <f t="shared" ref="DY5:DY29" si="28">IF(DN5*$DC5&gt;CR5,CR5,DN5*$DC5)</f>
        <v>34215.283853329282</v>
      </c>
      <c r="DZ5" s="351">
        <f t="shared" ref="DZ5:EH20" si="29">IF(DO5*$DC5&gt;CS5,CS5,DO5*$DC5)</f>
        <v>114050.94617776429</v>
      </c>
      <c r="EA5" s="351">
        <f t="shared" si="29"/>
        <v>34215.283853329282</v>
      </c>
      <c r="EB5" s="351">
        <f t="shared" si="29"/>
        <v>69951.246989028761</v>
      </c>
      <c r="EC5" s="351">
        <f t="shared" si="29"/>
        <v>53223.774882956655</v>
      </c>
      <c r="ED5" s="351">
        <f t="shared" si="29"/>
        <v>45620.378471105709</v>
      </c>
      <c r="EE5" s="351">
        <f t="shared" si="29"/>
        <v>45620.378471105709</v>
      </c>
      <c r="EF5" s="351">
        <f t="shared" si="29"/>
        <v>45620.378471105709</v>
      </c>
      <c r="EG5" s="351">
        <f t="shared" si="29"/>
        <v>39537.661341624953</v>
      </c>
      <c r="EH5" s="351">
        <f t="shared" si="29"/>
        <v>12165.434258961523</v>
      </c>
      <c r="EI5" s="352">
        <f>SUM(DY5:EH5)</f>
        <v>494220.76677031192</v>
      </c>
      <c r="EJ5" s="355">
        <f t="shared" ref="EJ5:EJ29" si="30">IF(DN5&lt;(CR5-DY5),DN5,(CR5-DY5))</f>
        <v>5702.5473088882136</v>
      </c>
      <c r="EK5" s="355">
        <f t="shared" ref="EK5:ES20" si="31">IF(DO5&lt;(CS5-DZ5),DO5,(CS5-DZ5))</f>
        <v>19008.491029627381</v>
      </c>
      <c r="EL5" s="355">
        <f t="shared" si="31"/>
        <v>5702.5473088882136</v>
      </c>
      <c r="EM5" s="355">
        <f t="shared" si="31"/>
        <v>11658.541164838127</v>
      </c>
      <c r="EN5" s="355">
        <f t="shared" si="31"/>
        <v>8870.6291471594432</v>
      </c>
      <c r="EO5" s="355">
        <f t="shared" si="31"/>
        <v>7603.3964118509512</v>
      </c>
      <c r="EP5" s="355">
        <f t="shared" si="31"/>
        <v>7603.3964118509521</v>
      </c>
      <c r="EQ5" s="355">
        <f t="shared" si="31"/>
        <v>7603.3964118509521</v>
      </c>
      <c r="ER5" s="355">
        <f t="shared" si="31"/>
        <v>6589.6102236041588</v>
      </c>
      <c r="ES5" s="355">
        <f t="shared" si="31"/>
        <v>2027.5723764935872</v>
      </c>
      <c r="ET5" s="353">
        <f>SUM(EJ5:ES5)</f>
        <v>82370.127795051972</v>
      </c>
      <c r="EU5" s="356"/>
      <c r="EV5" s="352"/>
      <c r="EW5" s="356"/>
      <c r="EX5" s="356"/>
      <c r="EY5" s="351"/>
      <c r="EZ5" s="351"/>
      <c r="FA5" s="351"/>
      <c r="FC5" s="630" t="s">
        <v>1586</v>
      </c>
      <c r="FD5" s="630"/>
      <c r="FE5" s="630"/>
      <c r="FF5" s="630"/>
      <c r="FG5" s="630"/>
    </row>
    <row r="6" spans="1:163" ht="35" customHeight="1" x14ac:dyDescent="0.3">
      <c r="A6" s="330" t="s">
        <v>1717</v>
      </c>
      <c r="B6" s="318" t="s">
        <v>1031</v>
      </c>
      <c r="C6" s="318" t="s">
        <v>72</v>
      </c>
      <c r="D6" s="318" t="s">
        <v>321</v>
      </c>
      <c r="E6" s="318" t="s">
        <v>8</v>
      </c>
      <c r="F6" s="318" t="s">
        <v>271</v>
      </c>
      <c r="G6" s="318" t="s">
        <v>723</v>
      </c>
      <c r="H6" s="318" t="s">
        <v>883</v>
      </c>
      <c r="I6" s="318" t="s">
        <v>884</v>
      </c>
      <c r="J6" s="318" t="s">
        <v>1043</v>
      </c>
      <c r="K6" s="318" t="s">
        <v>1050</v>
      </c>
      <c r="L6" s="318" t="s">
        <v>1055</v>
      </c>
      <c r="M6" s="318" t="s">
        <v>1060</v>
      </c>
      <c r="N6" s="318" t="s">
        <v>1069</v>
      </c>
      <c r="O6" s="318" t="s">
        <v>1072</v>
      </c>
      <c r="P6" s="318" t="s">
        <v>1079</v>
      </c>
      <c r="Q6" s="318" t="s">
        <v>1080</v>
      </c>
      <c r="R6" s="357" t="s">
        <v>1086</v>
      </c>
      <c r="S6" s="318" t="s">
        <v>1089</v>
      </c>
      <c r="T6" s="357" t="s">
        <v>102</v>
      </c>
      <c r="U6" s="357" t="s">
        <v>102</v>
      </c>
      <c r="V6" s="357" t="s">
        <v>102</v>
      </c>
      <c r="W6" s="357" t="s">
        <v>102</v>
      </c>
      <c r="X6" s="357" t="s">
        <v>102</v>
      </c>
      <c r="Y6" s="357" t="s">
        <v>102</v>
      </c>
      <c r="Z6" s="357" t="s">
        <v>102</v>
      </c>
      <c r="AA6" s="357" t="s">
        <v>102</v>
      </c>
      <c r="AB6" s="357" t="s">
        <v>102</v>
      </c>
      <c r="AC6" s="357" t="s">
        <v>104</v>
      </c>
      <c r="AD6" s="318" t="s">
        <v>1771</v>
      </c>
      <c r="AE6" s="318">
        <v>70</v>
      </c>
      <c r="AF6" s="318">
        <v>40</v>
      </c>
      <c r="AG6" s="318">
        <v>2006</v>
      </c>
      <c r="AH6" s="318" t="s">
        <v>800</v>
      </c>
      <c r="AI6" s="318">
        <f>AG6</f>
        <v>2006</v>
      </c>
      <c r="AJ6" s="318" t="str">
        <f>AH6</f>
        <v>Estimated</v>
      </c>
      <c r="AK6" s="318">
        <v>2017</v>
      </c>
      <c r="AL6" s="318" t="s">
        <v>1029</v>
      </c>
      <c r="AM6" s="317">
        <f t="shared" ref="AM6:AM29" si="32">DB6+EV6</f>
        <v>114430.60128529201</v>
      </c>
      <c r="AN6" s="318" t="s">
        <v>800</v>
      </c>
      <c r="AO6" s="511">
        <f t="shared" ref="AO6:AO29" si="33">EI6+EZ6</f>
        <v>50798.103645709052</v>
      </c>
      <c r="AP6" s="511">
        <f t="shared" ref="AP6:AP29" si="34">AM6-AO6</f>
        <v>63632.497639582958</v>
      </c>
      <c r="AQ6" s="511">
        <f t="shared" ref="AQ6:AQ29" si="35">ET6+FA6</f>
        <v>4218.1493676077871</v>
      </c>
      <c r="AR6" s="511">
        <f t="shared" ref="AR6:AR29" si="36">AP6-AQ6</f>
        <v>59414.34827197517</v>
      </c>
      <c r="AS6" s="511">
        <f>HLOOKUP($C$1,'Inflation Adjustments'!$BI$3:$BT$4,2)*CQ6</f>
        <v>161965.74843749998</v>
      </c>
      <c r="AT6" s="511">
        <f>IF(BU6="In Service",'Maintenace Cost Assumptions'!$B$3*AS6,0)</f>
        <v>809.82874218749987</v>
      </c>
      <c r="AU6" s="318">
        <v>3</v>
      </c>
      <c r="AV6" s="318">
        <v>3</v>
      </c>
      <c r="AW6" s="318">
        <v>3</v>
      </c>
      <c r="AX6" s="318">
        <v>3</v>
      </c>
      <c r="AY6" s="318">
        <v>3</v>
      </c>
      <c r="AZ6" s="318">
        <v>3</v>
      </c>
      <c r="BA6" s="318">
        <v>2</v>
      </c>
      <c r="BB6" s="318"/>
      <c r="BC6" s="318"/>
      <c r="BD6" s="318"/>
      <c r="BE6" s="318">
        <v>4</v>
      </c>
      <c r="BF6" s="318"/>
      <c r="BG6" s="332">
        <f>(AU6*'Condition rating weights'!H$8+AV6*'Condition rating weights'!I$8+AW6*'Condition rating weights'!J$8+AX6*'Condition rating weights'!K$8+AY6*'Condition rating weights'!L$8+AZ6*'Condition rating weights'!M$8+BA6*'Condition rating weights'!N$8+BB6*'Condition rating weights'!O$8+BC6*'Condition rating weights'!P$8+BD6*'Condition rating weights'!Q$8+BE6*'Condition rating weights'!R$8+BF6*'Condition rating weights'!S$8)/100</f>
        <v>0.64</v>
      </c>
      <c r="BH6" s="333">
        <v>1</v>
      </c>
      <c r="BI6" s="333">
        <v>111</v>
      </c>
      <c r="BJ6" s="333" t="s">
        <v>12</v>
      </c>
      <c r="BK6" s="333" t="s">
        <v>959</v>
      </c>
      <c r="BL6" s="333" t="s">
        <v>960</v>
      </c>
      <c r="BM6" s="333" t="s">
        <v>1015</v>
      </c>
      <c r="BN6" s="333" t="s">
        <v>117</v>
      </c>
      <c r="BO6" s="333" t="s">
        <v>962</v>
      </c>
      <c r="BP6" s="333" t="s">
        <v>962</v>
      </c>
      <c r="BQ6" s="333" t="s">
        <v>963</v>
      </c>
      <c r="BR6" s="333" t="s">
        <v>964</v>
      </c>
      <c r="BS6" s="333" t="s">
        <v>964</v>
      </c>
      <c r="BT6" s="334" t="s">
        <v>965</v>
      </c>
      <c r="BU6" s="335" t="s">
        <v>1429</v>
      </c>
      <c r="BV6" s="282"/>
      <c r="BW6" s="282"/>
      <c r="BX6" s="311" t="str">
        <f>'GRC and TUL Assumptions'!A6</f>
        <v>Structure</v>
      </c>
      <c r="BY6" s="350">
        <f>'GRC and TUL Assumptions'!C6</f>
        <v>500</v>
      </c>
      <c r="BZ6" s="350">
        <f>'GRC and TUL Assumptions'!D6</f>
        <v>800</v>
      </c>
      <c r="CA6" s="350">
        <f>'GRC and TUL Assumptions'!E6</f>
        <v>1500</v>
      </c>
      <c r="CB6" s="350">
        <v>0</v>
      </c>
      <c r="CC6" s="350">
        <f>'GRC and TUL Assumptions'!F6</f>
        <v>40</v>
      </c>
      <c r="CD6" s="350">
        <f>'GRC and TUL Assumptions'!G6</f>
        <v>60</v>
      </c>
      <c r="CE6" s="350">
        <f>'GRC and TUL Assumptions'!H6</f>
        <v>60</v>
      </c>
      <c r="CF6" s="350">
        <f t="shared" ref="CF6:CF14" si="37">CC6</f>
        <v>40</v>
      </c>
      <c r="CG6" s="351">
        <f t="shared" si="5"/>
        <v>10500</v>
      </c>
      <c r="CH6" s="351">
        <f t="shared" si="6"/>
        <v>35000</v>
      </c>
      <c r="CI6" s="351">
        <f t="shared" si="7"/>
        <v>7000</v>
      </c>
      <c r="CJ6" s="351">
        <f t="shared" si="8"/>
        <v>10500</v>
      </c>
      <c r="CK6" s="351">
        <f t="shared" si="9"/>
        <v>17500</v>
      </c>
      <c r="CL6" s="351">
        <f t="shared" si="10"/>
        <v>7000</v>
      </c>
      <c r="CM6" s="351">
        <f t="shared" si="11"/>
        <v>5600</v>
      </c>
      <c r="CN6" s="351">
        <f t="shared" si="12"/>
        <v>5600</v>
      </c>
      <c r="CO6" s="351">
        <f t="shared" si="13"/>
        <v>7000</v>
      </c>
      <c r="CP6" s="351">
        <f t="shared" si="14"/>
        <v>2800</v>
      </c>
      <c r="CQ6" s="352">
        <f t="shared" ref="CQ6:CQ29" si="38">SUM(CG6:CP6)</f>
        <v>108500</v>
      </c>
      <c r="CR6" s="353">
        <f>(HLOOKUP($AI6,'Inflation Adjustments'!$B$3:$BT$4,2,TRUE))*CG6</f>
        <v>6235.2194792218079</v>
      </c>
      <c r="CS6" s="353">
        <f>(HLOOKUP($AI6,'Inflation Adjustments'!$B$3:$BT$4,2,TRUE))*CH6</f>
        <v>20784.064930739361</v>
      </c>
      <c r="CT6" s="353">
        <f>(HLOOKUP($AI6,'Inflation Adjustments'!$B$3:$BT$4,2,TRUE))*CI6</f>
        <v>4156.8129861478719</v>
      </c>
      <c r="CU6" s="353">
        <f>(HLOOKUP($AI6,'Inflation Adjustments'!$B$3:$BT$4,2,TRUE))*CJ6</f>
        <v>6235.2194792218079</v>
      </c>
      <c r="CV6" s="353">
        <f>(HLOOKUP($AI6,'Inflation Adjustments'!$B$3:$BT$4,2,TRUE))*CK6</f>
        <v>10392.032465369681</v>
      </c>
      <c r="CW6" s="353">
        <f>(HLOOKUP($AI6,'Inflation Adjustments'!$B$3:$BT$4,2,TRUE))*CL6</f>
        <v>4156.8129861478719</v>
      </c>
      <c r="CX6" s="353">
        <f>(HLOOKUP($AI6,'Inflation Adjustments'!$B$3:$BT$4,2,TRUE))*CM6</f>
        <v>3325.4503889182974</v>
      </c>
      <c r="CY6" s="353">
        <f>(HLOOKUP($AI6,'Inflation Adjustments'!$B$3:$BT$4,2,TRUE))*CN6</f>
        <v>3325.4503889182974</v>
      </c>
      <c r="CZ6" s="353">
        <f>(HLOOKUP($AI6,'Inflation Adjustments'!$B$3:$BT$4,2,TRUE))*CO6</f>
        <v>4156.8129861478719</v>
      </c>
      <c r="DA6" s="353">
        <f>(HLOOKUP($AI6,'Inflation Adjustments'!$B$3:$BT$4,2,TRUE))*CP6</f>
        <v>1662.7251944591487</v>
      </c>
      <c r="DB6" s="353">
        <f t="shared" ref="DB6:DB46" si="39">SUM(CR6:DA6)</f>
        <v>64430.601285292018</v>
      </c>
      <c r="DC6" s="354">
        <f t="shared" si="15"/>
        <v>16</v>
      </c>
      <c r="DD6" s="351">
        <f t="shared" si="16"/>
        <v>40</v>
      </c>
      <c r="DE6" s="351">
        <f t="shared" si="17"/>
        <v>40</v>
      </c>
      <c r="DF6" s="351">
        <f t="shared" si="18"/>
        <v>10</v>
      </c>
      <c r="DG6" s="351">
        <f t="shared" si="19"/>
        <v>20</v>
      </c>
      <c r="DH6" s="351">
        <f t="shared" si="20"/>
        <v>40</v>
      </c>
      <c r="DI6" s="351">
        <f t="shared" si="21"/>
        <v>20</v>
      </c>
      <c r="DJ6" s="351">
        <f t="shared" si="22"/>
        <v>10</v>
      </c>
      <c r="DK6" s="351">
        <f t="shared" si="23"/>
        <v>10</v>
      </c>
      <c r="DL6" s="351">
        <f t="shared" si="24"/>
        <v>20</v>
      </c>
      <c r="DM6" s="351">
        <f t="shared" si="25"/>
        <v>30</v>
      </c>
      <c r="DN6" s="355">
        <f t="shared" si="26"/>
        <v>155.88048698054519</v>
      </c>
      <c r="DO6" s="355">
        <f t="shared" si="27"/>
        <v>519.60162326848399</v>
      </c>
      <c r="DP6" s="355">
        <f t="shared" si="27"/>
        <v>415.68129861478718</v>
      </c>
      <c r="DQ6" s="355">
        <f t="shared" si="27"/>
        <v>311.76097396109037</v>
      </c>
      <c r="DR6" s="355">
        <f t="shared" si="27"/>
        <v>259.800811634242</v>
      </c>
      <c r="DS6" s="355">
        <f t="shared" si="27"/>
        <v>207.84064930739359</v>
      </c>
      <c r="DT6" s="355">
        <f t="shared" si="27"/>
        <v>332.54503889182973</v>
      </c>
      <c r="DU6" s="355">
        <f t="shared" si="27"/>
        <v>332.54503889182973</v>
      </c>
      <c r="DV6" s="355">
        <f t="shared" si="27"/>
        <v>207.84064930739359</v>
      </c>
      <c r="DW6" s="355">
        <f t="shared" si="27"/>
        <v>55.424173148638289</v>
      </c>
      <c r="DX6" s="355">
        <f t="shared" ref="DX6:DX29" si="40">SUM(DN6:DW6)</f>
        <v>2798.9207440062337</v>
      </c>
      <c r="DY6" s="351">
        <f t="shared" si="28"/>
        <v>2494.087791688723</v>
      </c>
      <c r="DZ6" s="351">
        <f t="shared" si="29"/>
        <v>8313.6259722957438</v>
      </c>
      <c r="EA6" s="351">
        <f t="shared" si="29"/>
        <v>4156.8129861478719</v>
      </c>
      <c r="EB6" s="351">
        <f t="shared" si="29"/>
        <v>4988.1755833774459</v>
      </c>
      <c r="EC6" s="351">
        <f t="shared" si="29"/>
        <v>4156.8129861478719</v>
      </c>
      <c r="ED6" s="351">
        <f t="shared" si="29"/>
        <v>3325.4503889182974</v>
      </c>
      <c r="EE6" s="351">
        <f t="shared" si="29"/>
        <v>3325.4503889182974</v>
      </c>
      <c r="EF6" s="351">
        <f t="shared" si="29"/>
        <v>3325.4503889182974</v>
      </c>
      <c r="EG6" s="351">
        <f t="shared" si="29"/>
        <v>3325.4503889182974</v>
      </c>
      <c r="EH6" s="351">
        <f t="shared" si="29"/>
        <v>886.78677037821262</v>
      </c>
      <c r="EI6" s="352">
        <f t="shared" ref="EI6:EI29" si="41">SUM(DY6:EH6)</f>
        <v>38298.103645709052</v>
      </c>
      <c r="EJ6" s="355">
        <f t="shared" si="30"/>
        <v>155.88048698054519</v>
      </c>
      <c r="EK6" s="355">
        <f t="shared" si="31"/>
        <v>519.60162326848399</v>
      </c>
      <c r="EL6" s="355">
        <f t="shared" si="31"/>
        <v>0</v>
      </c>
      <c r="EM6" s="355">
        <f t="shared" si="31"/>
        <v>311.76097396109037</v>
      </c>
      <c r="EN6" s="355">
        <f t="shared" si="31"/>
        <v>259.800811634242</v>
      </c>
      <c r="EO6" s="355">
        <f t="shared" si="31"/>
        <v>207.84064930739359</v>
      </c>
      <c r="EP6" s="355">
        <f t="shared" si="31"/>
        <v>0</v>
      </c>
      <c r="EQ6" s="355">
        <f t="shared" si="31"/>
        <v>0</v>
      </c>
      <c r="ER6" s="355">
        <f t="shared" si="31"/>
        <v>207.84064930739359</v>
      </c>
      <c r="ES6" s="355">
        <f t="shared" si="31"/>
        <v>55.424173148638289</v>
      </c>
      <c r="ET6" s="353">
        <f t="shared" ref="ET6:ET29" si="42">SUM(EJ6:ES6)</f>
        <v>1718.1493676077869</v>
      </c>
      <c r="EU6" s="356">
        <v>2017</v>
      </c>
      <c r="EV6" s="351">
        <v>50000</v>
      </c>
      <c r="EW6" s="356">
        <v>20</v>
      </c>
      <c r="EX6" s="356">
        <f>$C$1-1-EU6</f>
        <v>5</v>
      </c>
      <c r="EY6" s="351">
        <f>EV6/EW6</f>
        <v>2500</v>
      </c>
      <c r="EZ6" s="351">
        <f>IF(EX6*EY6&lt;EV6,EX6*EY6,EV6)</f>
        <v>12500</v>
      </c>
      <c r="FA6" s="351">
        <f>IF(EY6&lt;(EV6-EZ6),EY6,(E60-EZ6))</f>
        <v>2500</v>
      </c>
      <c r="FC6" s="582" t="s">
        <v>1591</v>
      </c>
      <c r="FD6" s="582"/>
      <c r="FE6" s="582"/>
      <c r="FF6" s="582"/>
      <c r="FG6" s="582"/>
    </row>
    <row r="7" spans="1:163" ht="35" customHeight="1" x14ac:dyDescent="0.3">
      <c r="A7" s="330" t="s">
        <v>1718</v>
      </c>
      <c r="B7" s="318" t="s">
        <v>1032</v>
      </c>
      <c r="C7" s="318" t="s">
        <v>72</v>
      </c>
      <c r="D7" s="318" t="s">
        <v>321</v>
      </c>
      <c r="E7" s="318" t="s">
        <v>8</v>
      </c>
      <c r="F7" s="318" t="s">
        <v>271</v>
      </c>
      <c r="G7" s="318" t="s">
        <v>723</v>
      </c>
      <c r="H7" s="318" t="s">
        <v>885</v>
      </c>
      <c r="I7" s="318" t="s">
        <v>886</v>
      </c>
      <c r="J7" s="318" t="s">
        <v>1043</v>
      </c>
      <c r="K7" s="318" t="s">
        <v>1050</v>
      </c>
      <c r="L7" s="318" t="s">
        <v>1055</v>
      </c>
      <c r="M7" s="318" t="s">
        <v>1060</v>
      </c>
      <c r="N7" s="318" t="s">
        <v>1069</v>
      </c>
      <c r="O7" s="318" t="s">
        <v>1072</v>
      </c>
      <c r="P7" s="318" t="s">
        <v>1079</v>
      </c>
      <c r="Q7" s="318" t="s">
        <v>1080</v>
      </c>
      <c r="R7" s="318" t="s">
        <v>1086</v>
      </c>
      <c r="S7" s="318" t="s">
        <v>1089</v>
      </c>
      <c r="T7" s="318" t="s">
        <v>102</v>
      </c>
      <c r="U7" s="318" t="s">
        <v>102</v>
      </c>
      <c r="V7" s="318" t="s">
        <v>102</v>
      </c>
      <c r="W7" s="318" t="s">
        <v>102</v>
      </c>
      <c r="X7" s="318" t="s">
        <v>102</v>
      </c>
      <c r="Y7" s="318" t="s">
        <v>102</v>
      </c>
      <c r="Z7" s="318" t="s">
        <v>102</v>
      </c>
      <c r="AA7" s="318" t="s">
        <v>102</v>
      </c>
      <c r="AB7" s="318" t="s">
        <v>102</v>
      </c>
      <c r="AC7" s="318" t="s">
        <v>104</v>
      </c>
      <c r="AD7" s="318" t="s">
        <v>1771</v>
      </c>
      <c r="AE7" s="318">
        <f>72*3</f>
        <v>216</v>
      </c>
      <c r="AF7" s="318">
        <v>40</v>
      </c>
      <c r="AG7" s="318">
        <v>2006</v>
      </c>
      <c r="AH7" s="318" t="s">
        <v>800</v>
      </c>
      <c r="AI7" s="318">
        <v>2012</v>
      </c>
      <c r="AJ7" s="318" t="str">
        <f t="shared" ref="AJ7:AJ29" si="43">AH7</f>
        <v>Estimated</v>
      </c>
      <c r="AK7" s="318">
        <v>2012</v>
      </c>
      <c r="AL7" s="318" t="s">
        <v>970</v>
      </c>
      <c r="AM7" s="317">
        <f t="shared" si="32"/>
        <v>391138.55466439383</v>
      </c>
      <c r="AN7" s="318" t="s">
        <v>800</v>
      </c>
      <c r="AO7" s="511">
        <f t="shared" si="33"/>
        <v>177784.92052087648</v>
      </c>
      <c r="AP7" s="511">
        <f t="shared" si="34"/>
        <v>213353.63414351735</v>
      </c>
      <c r="AQ7" s="511">
        <f t="shared" si="35"/>
        <v>13230.361457717168</v>
      </c>
      <c r="AR7" s="511">
        <f t="shared" si="36"/>
        <v>200123.27268580018</v>
      </c>
      <c r="AS7" s="511">
        <f>HLOOKUP($C$1,'Inflation Adjustments'!$BI$3:$BT$4,2)*CQ7</f>
        <v>499780.02374999993</v>
      </c>
      <c r="AT7" s="511">
        <f>IF(BU7="In Service",'Maintenace Cost Assumptions'!$B$3*AS7,0)</f>
        <v>2498.9001187499998</v>
      </c>
      <c r="AU7" s="318">
        <v>3</v>
      </c>
      <c r="AV7" s="318">
        <v>3</v>
      </c>
      <c r="AW7" s="318">
        <v>3</v>
      </c>
      <c r="AX7" s="318">
        <v>2</v>
      </c>
      <c r="AY7" s="318">
        <v>3</v>
      </c>
      <c r="AZ7" s="318">
        <v>2</v>
      </c>
      <c r="BA7" s="318">
        <v>2</v>
      </c>
      <c r="BB7" s="318"/>
      <c r="BC7" s="318"/>
      <c r="BD7" s="318"/>
      <c r="BE7" s="318">
        <v>3</v>
      </c>
      <c r="BF7" s="318"/>
      <c r="BG7" s="332">
        <f>(AU7*'Condition rating weights'!H$8+AV7*'Condition rating weights'!I$8+AW7*'Condition rating weights'!J$8+AX7*'Condition rating weights'!K$8+AY7*'Condition rating weights'!L$8+AZ7*'Condition rating weights'!M$8+BA7*'Condition rating weights'!N$8+BB7*'Condition rating weights'!O$8+BC7*'Condition rating weights'!P$8+BD7*'Condition rating weights'!Q$8+BE7*'Condition rating weights'!R$8+BF7*'Condition rating weights'!S$8)/100</f>
        <v>0.56000000000000005</v>
      </c>
      <c r="BH7" s="333">
        <v>1</v>
      </c>
      <c r="BI7" s="333">
        <v>111</v>
      </c>
      <c r="BJ7" s="333" t="s">
        <v>12</v>
      </c>
      <c r="BK7" s="333" t="s">
        <v>959</v>
      </c>
      <c r="BL7" s="333" t="s">
        <v>960</v>
      </c>
      <c r="BM7" s="333" t="s">
        <v>1030</v>
      </c>
      <c r="BN7" s="333" t="s">
        <v>117</v>
      </c>
      <c r="BO7" s="333" t="s">
        <v>962</v>
      </c>
      <c r="BP7" s="333" t="s">
        <v>962</v>
      </c>
      <c r="BQ7" s="333" t="s">
        <v>963</v>
      </c>
      <c r="BR7" s="333" t="s">
        <v>964</v>
      </c>
      <c r="BS7" s="333" t="s">
        <v>964</v>
      </c>
      <c r="BT7" s="334" t="s">
        <v>965</v>
      </c>
      <c r="BU7" s="335" t="s">
        <v>1429</v>
      </c>
      <c r="BV7" s="282"/>
      <c r="BW7" s="282"/>
      <c r="BX7" s="311" t="str">
        <f>'GRC and TUL Assumptions'!A7</f>
        <v>Roofing</v>
      </c>
      <c r="BY7" s="350">
        <f>'GRC and TUL Assumptions'!C7</f>
        <v>100</v>
      </c>
      <c r="BZ7" s="350">
        <f>'GRC and TUL Assumptions'!D7</f>
        <v>150</v>
      </c>
      <c r="CA7" s="350">
        <f>'GRC and TUL Assumptions'!E7</f>
        <v>300</v>
      </c>
      <c r="CB7" s="350">
        <v>0</v>
      </c>
      <c r="CC7" s="350">
        <f>'GRC and TUL Assumptions'!F7</f>
        <v>10</v>
      </c>
      <c r="CD7" s="350">
        <f>'GRC and TUL Assumptions'!G7</f>
        <v>20</v>
      </c>
      <c r="CE7" s="350">
        <f>'GRC and TUL Assumptions'!H7</f>
        <v>30</v>
      </c>
      <c r="CF7" s="350">
        <f t="shared" si="37"/>
        <v>10</v>
      </c>
      <c r="CG7" s="351">
        <f t="shared" si="5"/>
        <v>32400</v>
      </c>
      <c r="CH7" s="351">
        <f t="shared" si="6"/>
        <v>108000</v>
      </c>
      <c r="CI7" s="351">
        <f t="shared" si="7"/>
        <v>21600</v>
      </c>
      <c r="CJ7" s="351">
        <f t="shared" si="8"/>
        <v>32400</v>
      </c>
      <c r="CK7" s="351">
        <f t="shared" si="9"/>
        <v>54000</v>
      </c>
      <c r="CL7" s="351">
        <f t="shared" si="10"/>
        <v>21600</v>
      </c>
      <c r="CM7" s="351">
        <f t="shared" si="11"/>
        <v>17280</v>
      </c>
      <c r="CN7" s="351">
        <f t="shared" si="12"/>
        <v>17280</v>
      </c>
      <c r="CO7" s="351">
        <f t="shared" si="13"/>
        <v>21600</v>
      </c>
      <c r="CP7" s="351">
        <f t="shared" si="14"/>
        <v>8640</v>
      </c>
      <c r="CQ7" s="352">
        <f t="shared" si="38"/>
        <v>334800</v>
      </c>
      <c r="CR7" s="353">
        <f>(HLOOKUP($AI7,'Inflation Adjustments'!$B$3:$BT$4,2,TRUE))*CG7</f>
        <v>26239.214967521981</v>
      </c>
      <c r="CS7" s="353">
        <f>(HLOOKUP($AI7,'Inflation Adjustments'!$B$3:$BT$4,2,TRUE))*CH7</f>
        <v>87464.049891739938</v>
      </c>
      <c r="CT7" s="353">
        <f>(HLOOKUP($AI7,'Inflation Adjustments'!$B$3:$BT$4,2,TRUE))*CI7</f>
        <v>17492.809978347988</v>
      </c>
      <c r="CU7" s="353">
        <f>(HLOOKUP($AI7,'Inflation Adjustments'!$B$3:$BT$4,2,TRUE))*CJ7</f>
        <v>26239.214967521981</v>
      </c>
      <c r="CV7" s="353">
        <f>(HLOOKUP($AI7,'Inflation Adjustments'!$B$3:$BT$4,2,TRUE))*CK7</f>
        <v>43732.024945869969</v>
      </c>
      <c r="CW7" s="353">
        <f>(HLOOKUP($AI7,'Inflation Adjustments'!$B$3:$BT$4,2,TRUE))*CL7</f>
        <v>17492.809978347988</v>
      </c>
      <c r="CX7" s="353">
        <f>(HLOOKUP($AI7,'Inflation Adjustments'!$B$3:$BT$4,2,TRUE))*CM7</f>
        <v>13994.247982678391</v>
      </c>
      <c r="CY7" s="353">
        <f>(HLOOKUP($AI7,'Inflation Adjustments'!$B$3:$BT$4,2,TRUE))*CN7</f>
        <v>13994.247982678391</v>
      </c>
      <c r="CZ7" s="353">
        <f>(HLOOKUP($AI7,'Inflation Adjustments'!$B$3:$BT$4,2,TRUE))*CO7</f>
        <v>17492.809978347988</v>
      </c>
      <c r="DA7" s="353">
        <f>(HLOOKUP($AI7,'Inflation Adjustments'!$B$3:$BT$4,2,TRUE))*CP7</f>
        <v>6997.1239913391955</v>
      </c>
      <c r="DB7" s="353">
        <f t="shared" si="39"/>
        <v>271138.55466439383</v>
      </c>
      <c r="DC7" s="354">
        <f t="shared" si="15"/>
        <v>10</v>
      </c>
      <c r="DD7" s="351">
        <f t="shared" si="16"/>
        <v>40</v>
      </c>
      <c r="DE7" s="351">
        <f t="shared" si="17"/>
        <v>40</v>
      </c>
      <c r="DF7" s="351">
        <f t="shared" si="18"/>
        <v>10</v>
      </c>
      <c r="DG7" s="351">
        <f t="shared" si="19"/>
        <v>20</v>
      </c>
      <c r="DH7" s="351">
        <f t="shared" si="20"/>
        <v>40</v>
      </c>
      <c r="DI7" s="351">
        <f t="shared" si="21"/>
        <v>20</v>
      </c>
      <c r="DJ7" s="351">
        <f t="shared" si="22"/>
        <v>10</v>
      </c>
      <c r="DK7" s="351">
        <f t="shared" si="23"/>
        <v>10</v>
      </c>
      <c r="DL7" s="351">
        <f t="shared" si="24"/>
        <v>20</v>
      </c>
      <c r="DM7" s="351">
        <f t="shared" si="25"/>
        <v>30</v>
      </c>
      <c r="DN7" s="355">
        <f t="shared" si="26"/>
        <v>655.9803741880495</v>
      </c>
      <c r="DO7" s="355">
        <f t="shared" si="27"/>
        <v>2186.6012472934985</v>
      </c>
      <c r="DP7" s="355">
        <f t="shared" si="27"/>
        <v>1749.2809978347989</v>
      </c>
      <c r="DQ7" s="355">
        <f t="shared" si="27"/>
        <v>1311.960748376099</v>
      </c>
      <c r="DR7" s="355">
        <f t="shared" si="27"/>
        <v>1093.3006236467493</v>
      </c>
      <c r="DS7" s="355">
        <f t="shared" si="27"/>
        <v>874.64049891739944</v>
      </c>
      <c r="DT7" s="355">
        <f t="shared" si="27"/>
        <v>1399.4247982678392</v>
      </c>
      <c r="DU7" s="355">
        <f t="shared" si="27"/>
        <v>1399.4247982678392</v>
      </c>
      <c r="DV7" s="355">
        <f t="shared" si="27"/>
        <v>874.64049891739944</v>
      </c>
      <c r="DW7" s="355">
        <f t="shared" si="27"/>
        <v>233.23746637797319</v>
      </c>
      <c r="DX7" s="355">
        <f t="shared" si="40"/>
        <v>11778.492052087646</v>
      </c>
      <c r="DY7" s="351">
        <f t="shared" si="28"/>
        <v>6559.8037418804952</v>
      </c>
      <c r="DZ7" s="351">
        <f t="shared" si="29"/>
        <v>21866.012472934985</v>
      </c>
      <c r="EA7" s="351">
        <f t="shared" si="29"/>
        <v>17492.809978347988</v>
      </c>
      <c r="EB7" s="351">
        <f t="shared" si="29"/>
        <v>13119.60748376099</v>
      </c>
      <c r="EC7" s="351">
        <f t="shared" si="29"/>
        <v>10933.006236467492</v>
      </c>
      <c r="ED7" s="351">
        <f t="shared" si="29"/>
        <v>8746.4049891739942</v>
      </c>
      <c r="EE7" s="351">
        <f t="shared" si="29"/>
        <v>13994.247982678391</v>
      </c>
      <c r="EF7" s="351">
        <f t="shared" si="29"/>
        <v>13994.247982678391</v>
      </c>
      <c r="EG7" s="351">
        <f t="shared" si="29"/>
        <v>8746.4049891739942</v>
      </c>
      <c r="EH7" s="351">
        <f t="shared" si="29"/>
        <v>2332.3746637797321</v>
      </c>
      <c r="EI7" s="352">
        <f t="shared" si="41"/>
        <v>117784.92052087648</v>
      </c>
      <c r="EJ7" s="355">
        <f t="shared" si="30"/>
        <v>655.9803741880495</v>
      </c>
      <c r="EK7" s="355">
        <f t="shared" si="31"/>
        <v>2186.6012472934985</v>
      </c>
      <c r="EL7" s="355">
        <f t="shared" si="31"/>
        <v>0</v>
      </c>
      <c r="EM7" s="355">
        <f t="shared" si="31"/>
        <v>1311.960748376099</v>
      </c>
      <c r="EN7" s="355">
        <f t="shared" si="31"/>
        <v>1093.3006236467493</v>
      </c>
      <c r="EO7" s="355">
        <f t="shared" si="31"/>
        <v>874.64049891739944</v>
      </c>
      <c r="EP7" s="355">
        <f t="shared" si="31"/>
        <v>0</v>
      </c>
      <c r="EQ7" s="355">
        <f t="shared" si="31"/>
        <v>0</v>
      </c>
      <c r="ER7" s="355">
        <f t="shared" si="31"/>
        <v>874.64049891739944</v>
      </c>
      <c r="ES7" s="355">
        <f t="shared" si="31"/>
        <v>233.23746637797319</v>
      </c>
      <c r="ET7" s="353">
        <f t="shared" si="42"/>
        <v>7230.3614577171684</v>
      </c>
      <c r="EU7" s="356">
        <f>AK7</f>
        <v>2012</v>
      </c>
      <c r="EV7" s="352">
        <v>120000</v>
      </c>
      <c r="EW7" s="351">
        <v>20</v>
      </c>
      <c r="EX7" s="356">
        <f>$C$1-1-EU7</f>
        <v>10</v>
      </c>
      <c r="EY7" s="351">
        <f>EV7/EW7</f>
        <v>6000</v>
      </c>
      <c r="EZ7" s="351">
        <f>IF(EX7*EY7&lt;EV7,EX7*EY7,EV7)</f>
        <v>60000</v>
      </c>
      <c r="FA7" s="351">
        <f>IF(EY7&lt;(EV7-EZ7),EY7,(E61-EZ7))</f>
        <v>6000</v>
      </c>
      <c r="FC7" s="630" t="s">
        <v>1588</v>
      </c>
      <c r="FD7" s="630"/>
      <c r="FE7" s="630"/>
      <c r="FF7" s="630"/>
      <c r="FG7" s="630"/>
    </row>
    <row r="8" spans="1:163" ht="35" customHeight="1" x14ac:dyDescent="0.3">
      <c r="A8" s="330" t="s">
        <v>1719</v>
      </c>
      <c r="B8" s="318" t="s">
        <v>1592</v>
      </c>
      <c r="C8" s="318" t="s">
        <v>72</v>
      </c>
      <c r="D8" s="318" t="s">
        <v>321</v>
      </c>
      <c r="E8" s="318" t="s">
        <v>8</v>
      </c>
      <c r="F8" s="318" t="s">
        <v>271</v>
      </c>
      <c r="G8" s="318" t="s">
        <v>723</v>
      </c>
      <c r="H8" s="318" t="s">
        <v>885</v>
      </c>
      <c r="I8" s="318" t="s">
        <v>886</v>
      </c>
      <c r="J8" s="318" t="s">
        <v>1043</v>
      </c>
      <c r="K8" s="318" t="s">
        <v>1050</v>
      </c>
      <c r="L8" s="318" t="s">
        <v>1055</v>
      </c>
      <c r="M8" s="318" t="s">
        <v>1060</v>
      </c>
      <c r="N8" s="318" t="s">
        <v>1069</v>
      </c>
      <c r="O8" s="318" t="s">
        <v>1072</v>
      </c>
      <c r="P8" s="318" t="s">
        <v>1079</v>
      </c>
      <c r="Q8" s="318" t="s">
        <v>1080</v>
      </c>
      <c r="R8" s="318" t="s">
        <v>1086</v>
      </c>
      <c r="S8" s="318" t="s">
        <v>1089</v>
      </c>
      <c r="T8" s="318" t="s">
        <v>102</v>
      </c>
      <c r="U8" s="318" t="s">
        <v>102</v>
      </c>
      <c r="V8" s="318" t="s">
        <v>102</v>
      </c>
      <c r="W8" s="318" t="s">
        <v>102</v>
      </c>
      <c r="X8" s="318" t="s">
        <v>102</v>
      </c>
      <c r="Y8" s="318" t="s">
        <v>102</v>
      </c>
      <c r="Z8" s="318" t="s">
        <v>102</v>
      </c>
      <c r="AA8" s="318" t="s">
        <v>102</v>
      </c>
      <c r="AB8" s="318" t="s">
        <v>102</v>
      </c>
      <c r="AC8" s="318" t="s">
        <v>104</v>
      </c>
      <c r="AD8" s="318" t="s">
        <v>1771</v>
      </c>
      <c r="AE8" s="318">
        <f>72*4</f>
        <v>288</v>
      </c>
      <c r="AF8" s="318">
        <v>40</v>
      </c>
      <c r="AG8" s="318">
        <v>2016</v>
      </c>
      <c r="AH8" s="318" t="s">
        <v>800</v>
      </c>
      <c r="AI8" s="318">
        <v>2016</v>
      </c>
      <c r="AJ8" s="318" t="s">
        <v>800</v>
      </c>
      <c r="AK8" s="318"/>
      <c r="AL8" s="318"/>
      <c r="AM8" s="317">
        <f t="shared" ref="AM8" si="44">DB8+EV8</f>
        <v>411412.86766669882</v>
      </c>
      <c r="AN8" s="318" t="s">
        <v>800</v>
      </c>
      <c r="AO8" s="511">
        <f t="shared" ref="AO8" si="45">EI8+EZ8</f>
        <v>107232.77324990084</v>
      </c>
      <c r="AP8" s="511">
        <f t="shared" ref="AP8" si="46">AM8-AO8</f>
        <v>304180.09441679798</v>
      </c>
      <c r="AQ8" s="511">
        <f t="shared" ref="AQ8" si="47">ET8+FA8</f>
        <v>17872.128874983475</v>
      </c>
      <c r="AR8" s="511">
        <f t="shared" ref="AR8" si="48">AP8-AQ8</f>
        <v>286307.96554181451</v>
      </c>
      <c r="AS8" s="511">
        <f>HLOOKUP($C$1,'Inflation Adjustments'!$BI$3:$BT$4,2)*CQ8</f>
        <v>666373.36499999999</v>
      </c>
      <c r="AT8" s="511">
        <f>IF(BU8="In Service",'Maintenace Cost Assumptions'!$B$3*AS8,0)</f>
        <v>3331.8668250000001</v>
      </c>
      <c r="AU8" s="318">
        <v>3</v>
      </c>
      <c r="AV8" s="318">
        <v>3</v>
      </c>
      <c r="AW8" s="318">
        <v>3</v>
      </c>
      <c r="AX8" s="318">
        <v>3</v>
      </c>
      <c r="AY8" s="318">
        <v>3</v>
      </c>
      <c r="AZ8" s="318">
        <v>3</v>
      </c>
      <c r="BA8" s="318">
        <v>3</v>
      </c>
      <c r="BB8" s="318"/>
      <c r="BC8" s="318"/>
      <c r="BD8" s="318"/>
      <c r="BE8" s="318">
        <v>2</v>
      </c>
      <c r="BF8" s="318"/>
      <c r="BG8" s="332">
        <f>(AU8*'Condition rating weights'!H$8+AV8*'Condition rating weights'!I$8+AW8*'Condition rating weights'!J$8+AX8*'Condition rating weights'!K$8+AY8*'Condition rating weights'!L$8+AZ8*'Condition rating weights'!M$8+BA8*'Condition rating weights'!N$8+BB8*'Condition rating weights'!O$8+BC8*'Condition rating weights'!P$8+BD8*'Condition rating weights'!Q$8+BE8*'Condition rating weights'!R$8+BF8*'Condition rating weights'!S$8)/100</f>
        <v>0.54</v>
      </c>
      <c r="BH8" s="333">
        <v>1</v>
      </c>
      <c r="BI8" s="333">
        <v>111</v>
      </c>
      <c r="BJ8" s="333" t="s">
        <v>12</v>
      </c>
      <c r="BK8" s="333" t="s">
        <v>959</v>
      </c>
      <c r="BL8" s="333" t="s">
        <v>960</v>
      </c>
      <c r="BM8" s="333" t="s">
        <v>1030</v>
      </c>
      <c r="BN8" s="333" t="s">
        <v>117</v>
      </c>
      <c r="BO8" s="333" t="s">
        <v>962</v>
      </c>
      <c r="BP8" s="333" t="s">
        <v>962</v>
      </c>
      <c r="BQ8" s="333" t="s">
        <v>963</v>
      </c>
      <c r="BR8" s="333" t="s">
        <v>964</v>
      </c>
      <c r="BS8" s="333" t="s">
        <v>964</v>
      </c>
      <c r="BT8" s="334" t="s">
        <v>965</v>
      </c>
      <c r="BU8" s="335" t="s">
        <v>1429</v>
      </c>
      <c r="BV8" s="282"/>
      <c r="BW8" s="282"/>
      <c r="BX8" s="311" t="str">
        <f>'GRC and TUL Assumptions'!A8</f>
        <v>Exterior Wall Cladding</v>
      </c>
      <c r="BY8" s="350">
        <f>'GRC and TUL Assumptions'!C8</f>
        <v>150</v>
      </c>
      <c r="BZ8" s="350">
        <f>'GRC and TUL Assumptions'!D8</f>
        <v>230</v>
      </c>
      <c r="CA8" s="350">
        <f>'GRC and TUL Assumptions'!E8</f>
        <v>300</v>
      </c>
      <c r="CB8" s="350">
        <v>0</v>
      </c>
      <c r="CC8" s="350">
        <f>'GRC and TUL Assumptions'!F8</f>
        <v>20</v>
      </c>
      <c r="CD8" s="350">
        <f>'GRC and TUL Assumptions'!G8</f>
        <v>30</v>
      </c>
      <c r="CE8" s="350">
        <f>'GRC and TUL Assumptions'!H8</f>
        <v>40</v>
      </c>
      <c r="CF8" s="350">
        <f t="shared" si="37"/>
        <v>20</v>
      </c>
      <c r="CG8" s="351">
        <f t="shared" si="5"/>
        <v>43200</v>
      </c>
      <c r="CH8" s="351">
        <f t="shared" si="6"/>
        <v>144000</v>
      </c>
      <c r="CI8" s="351">
        <f t="shared" si="7"/>
        <v>28800</v>
      </c>
      <c r="CJ8" s="351">
        <f t="shared" si="8"/>
        <v>43200</v>
      </c>
      <c r="CK8" s="351">
        <f t="shared" si="9"/>
        <v>72000</v>
      </c>
      <c r="CL8" s="351">
        <f t="shared" si="10"/>
        <v>28800</v>
      </c>
      <c r="CM8" s="351">
        <f t="shared" si="11"/>
        <v>23040</v>
      </c>
      <c r="CN8" s="351">
        <f t="shared" si="12"/>
        <v>23040</v>
      </c>
      <c r="CO8" s="351">
        <f t="shared" si="13"/>
        <v>28800</v>
      </c>
      <c r="CP8" s="351">
        <f t="shared" si="14"/>
        <v>11520</v>
      </c>
      <c r="CQ8" s="352">
        <f t="shared" si="38"/>
        <v>446400</v>
      </c>
      <c r="CR8" s="353">
        <f>(HLOOKUP($AI8,'Inflation Adjustments'!$B$3:$BT$4,2,TRUE))*CG8</f>
        <v>39814.148483874073</v>
      </c>
      <c r="CS8" s="353">
        <f>(HLOOKUP($AI8,'Inflation Adjustments'!$B$3:$BT$4,2,TRUE))*CH8</f>
        <v>132713.82827958025</v>
      </c>
      <c r="CT8" s="353">
        <f>(HLOOKUP($AI8,'Inflation Adjustments'!$B$3:$BT$4,2,TRUE))*CI8</f>
        <v>26542.76565591605</v>
      </c>
      <c r="CU8" s="353">
        <f>(HLOOKUP($AI8,'Inflation Adjustments'!$B$3:$BT$4,2,TRUE))*CJ8</f>
        <v>39814.148483874073</v>
      </c>
      <c r="CV8" s="353">
        <f>(HLOOKUP($AI8,'Inflation Adjustments'!$B$3:$BT$4,2,TRUE))*CK8</f>
        <v>66356.914139790126</v>
      </c>
      <c r="CW8" s="353">
        <f>(HLOOKUP($AI8,'Inflation Adjustments'!$B$3:$BT$4,2,TRUE))*CL8</f>
        <v>26542.76565591605</v>
      </c>
      <c r="CX8" s="353">
        <f>(HLOOKUP($AI8,'Inflation Adjustments'!$B$3:$BT$4,2,TRUE))*CM8</f>
        <v>21234.21252473284</v>
      </c>
      <c r="CY8" s="353">
        <f>(HLOOKUP($AI8,'Inflation Adjustments'!$B$3:$BT$4,2,TRUE))*CN8</f>
        <v>21234.21252473284</v>
      </c>
      <c r="CZ8" s="353">
        <f>(HLOOKUP($AI8,'Inflation Adjustments'!$B$3:$BT$4,2,TRUE))*CO8</f>
        <v>26542.76565591605</v>
      </c>
      <c r="DA8" s="353">
        <f>(HLOOKUP($AI8,'Inflation Adjustments'!$B$3:$BT$4,2,TRUE))*CP8</f>
        <v>10617.10626236642</v>
      </c>
      <c r="DB8" s="353">
        <f t="shared" si="39"/>
        <v>411412.86766669882</v>
      </c>
      <c r="DC8" s="354">
        <f t="shared" si="15"/>
        <v>6</v>
      </c>
      <c r="DD8" s="351">
        <f t="shared" si="16"/>
        <v>40</v>
      </c>
      <c r="DE8" s="351">
        <f t="shared" si="17"/>
        <v>40</v>
      </c>
      <c r="DF8" s="351">
        <f t="shared" si="18"/>
        <v>10</v>
      </c>
      <c r="DG8" s="351">
        <f t="shared" si="19"/>
        <v>20</v>
      </c>
      <c r="DH8" s="351">
        <f t="shared" si="20"/>
        <v>40</v>
      </c>
      <c r="DI8" s="351">
        <f t="shared" si="21"/>
        <v>20</v>
      </c>
      <c r="DJ8" s="351">
        <f t="shared" si="22"/>
        <v>10</v>
      </c>
      <c r="DK8" s="351">
        <f t="shared" si="23"/>
        <v>10</v>
      </c>
      <c r="DL8" s="351">
        <f t="shared" si="24"/>
        <v>20</v>
      </c>
      <c r="DM8" s="351">
        <f t="shared" si="25"/>
        <v>30</v>
      </c>
      <c r="DN8" s="355">
        <f t="shared" si="26"/>
        <v>995.35371209685184</v>
      </c>
      <c r="DO8" s="355">
        <f t="shared" si="27"/>
        <v>3317.8457069895062</v>
      </c>
      <c r="DP8" s="355">
        <f t="shared" si="27"/>
        <v>2654.276565591605</v>
      </c>
      <c r="DQ8" s="355">
        <f t="shared" si="27"/>
        <v>1990.7074241937037</v>
      </c>
      <c r="DR8" s="355">
        <f t="shared" si="27"/>
        <v>1658.9228534947531</v>
      </c>
      <c r="DS8" s="355">
        <f t="shared" si="27"/>
        <v>1327.1382827958025</v>
      </c>
      <c r="DT8" s="355">
        <f t="shared" si="27"/>
        <v>2123.4212524732839</v>
      </c>
      <c r="DU8" s="355">
        <f t="shared" si="27"/>
        <v>2123.4212524732839</v>
      </c>
      <c r="DV8" s="355">
        <f t="shared" si="27"/>
        <v>1327.1382827958025</v>
      </c>
      <c r="DW8" s="355">
        <f t="shared" si="27"/>
        <v>353.90354207888066</v>
      </c>
      <c r="DX8" s="355">
        <f t="shared" si="40"/>
        <v>17872.128874983475</v>
      </c>
      <c r="DY8" s="351">
        <f t="shared" si="28"/>
        <v>5972.1222725811112</v>
      </c>
      <c r="DZ8" s="351">
        <f t="shared" si="29"/>
        <v>19907.074241937036</v>
      </c>
      <c r="EA8" s="351">
        <f t="shared" si="29"/>
        <v>15925.659393549631</v>
      </c>
      <c r="EB8" s="351">
        <f t="shared" si="29"/>
        <v>11944.244545162222</v>
      </c>
      <c r="EC8" s="351">
        <f t="shared" si="29"/>
        <v>9953.5371209685181</v>
      </c>
      <c r="ED8" s="351">
        <f t="shared" si="29"/>
        <v>7962.8296967748156</v>
      </c>
      <c r="EE8" s="351">
        <f t="shared" si="29"/>
        <v>12740.527514839703</v>
      </c>
      <c r="EF8" s="351">
        <f t="shared" si="29"/>
        <v>12740.527514839703</v>
      </c>
      <c r="EG8" s="351">
        <f t="shared" si="29"/>
        <v>7962.8296967748156</v>
      </c>
      <c r="EH8" s="351">
        <f t="shared" si="29"/>
        <v>2123.4212524732839</v>
      </c>
      <c r="EI8" s="352">
        <f t="shared" si="41"/>
        <v>107232.77324990084</v>
      </c>
      <c r="EJ8" s="355">
        <f t="shared" si="30"/>
        <v>995.35371209685184</v>
      </c>
      <c r="EK8" s="355">
        <f t="shared" si="31"/>
        <v>3317.8457069895062</v>
      </c>
      <c r="EL8" s="355">
        <f t="shared" si="31"/>
        <v>2654.276565591605</v>
      </c>
      <c r="EM8" s="355">
        <f t="shared" si="31"/>
        <v>1990.7074241937037</v>
      </c>
      <c r="EN8" s="355">
        <f t="shared" si="31"/>
        <v>1658.9228534947531</v>
      </c>
      <c r="EO8" s="355">
        <f t="shared" si="31"/>
        <v>1327.1382827958025</v>
      </c>
      <c r="EP8" s="355">
        <f t="shared" si="31"/>
        <v>2123.4212524732839</v>
      </c>
      <c r="EQ8" s="355">
        <f t="shared" si="31"/>
        <v>2123.4212524732839</v>
      </c>
      <c r="ER8" s="355">
        <f t="shared" si="31"/>
        <v>1327.1382827958025</v>
      </c>
      <c r="ES8" s="355">
        <f t="shared" si="31"/>
        <v>353.90354207888066</v>
      </c>
      <c r="ET8" s="353">
        <f t="shared" si="42"/>
        <v>17872.128874983475</v>
      </c>
      <c r="EU8" s="356"/>
      <c r="EV8" s="352"/>
      <c r="EW8" s="351"/>
      <c r="EX8" s="356"/>
      <c r="EY8" s="351"/>
      <c r="EZ8" s="351"/>
      <c r="FA8" s="351"/>
      <c r="FC8" s="630" t="s">
        <v>1593</v>
      </c>
      <c r="FD8" s="630"/>
      <c r="FE8" s="630"/>
      <c r="FF8" s="630"/>
      <c r="FG8" s="630"/>
    </row>
    <row r="9" spans="1:163" ht="35" customHeight="1" x14ac:dyDescent="0.3">
      <c r="A9" s="330" t="s">
        <v>1720</v>
      </c>
      <c r="B9" s="318" t="s">
        <v>1594</v>
      </c>
      <c r="C9" s="318" t="s">
        <v>72</v>
      </c>
      <c r="D9" s="318" t="s">
        <v>321</v>
      </c>
      <c r="E9" s="318" t="s">
        <v>8</v>
      </c>
      <c r="F9" s="318" t="s">
        <v>271</v>
      </c>
      <c r="G9" s="318" t="s">
        <v>723</v>
      </c>
      <c r="H9" s="318" t="s">
        <v>887</v>
      </c>
      <c r="I9" s="318" t="s">
        <v>884</v>
      </c>
      <c r="J9" s="318" t="s">
        <v>1043</v>
      </c>
      <c r="K9" s="318" t="s">
        <v>1050</v>
      </c>
      <c r="L9" s="318" t="s">
        <v>1055</v>
      </c>
      <c r="M9" s="318" t="s">
        <v>1060</v>
      </c>
      <c r="N9" s="318" t="s">
        <v>1069</v>
      </c>
      <c r="O9" s="318" t="s">
        <v>1072</v>
      </c>
      <c r="P9" s="318" t="s">
        <v>1079</v>
      </c>
      <c r="Q9" s="318" t="s">
        <v>1080</v>
      </c>
      <c r="R9" s="318" t="s">
        <v>1086</v>
      </c>
      <c r="S9" s="318" t="s">
        <v>1089</v>
      </c>
      <c r="T9" s="318" t="s">
        <v>102</v>
      </c>
      <c r="U9" s="318" t="s">
        <v>102</v>
      </c>
      <c r="V9" s="318" t="s">
        <v>102</v>
      </c>
      <c r="W9" s="318" t="s">
        <v>102</v>
      </c>
      <c r="X9" s="318" t="s">
        <v>102</v>
      </c>
      <c r="Y9" s="318" t="s">
        <v>102</v>
      </c>
      <c r="Z9" s="318" t="s">
        <v>102</v>
      </c>
      <c r="AA9" s="318" t="s">
        <v>102</v>
      </c>
      <c r="AB9" s="318" t="s">
        <v>102</v>
      </c>
      <c r="AC9" s="318" t="s">
        <v>104</v>
      </c>
      <c r="AD9" s="318" t="s">
        <v>1771</v>
      </c>
      <c r="AE9" s="318">
        <v>150</v>
      </c>
      <c r="AF9" s="318">
        <v>40</v>
      </c>
      <c r="AG9" s="318">
        <v>2020</v>
      </c>
      <c r="AH9" s="318" t="s">
        <v>800</v>
      </c>
      <c r="AI9" s="318">
        <f t="shared" ref="AI9:AI29" si="49">AG9</f>
        <v>2020</v>
      </c>
      <c r="AJ9" s="318" t="str">
        <f t="shared" si="43"/>
        <v>Estimated</v>
      </c>
      <c r="AK9" s="318"/>
      <c r="AL9" s="318"/>
      <c r="AM9" s="317">
        <f t="shared" si="32"/>
        <v>244125</v>
      </c>
      <c r="AN9" s="318" t="s">
        <v>800</v>
      </c>
      <c r="AO9" s="511">
        <f t="shared" si="33"/>
        <v>21210</v>
      </c>
      <c r="AP9" s="511">
        <f t="shared" si="34"/>
        <v>222915</v>
      </c>
      <c r="AQ9" s="511">
        <f t="shared" si="35"/>
        <v>10605</v>
      </c>
      <c r="AR9" s="511">
        <f t="shared" si="36"/>
        <v>212310</v>
      </c>
      <c r="AS9" s="511">
        <f>HLOOKUP($C$1,'Inflation Adjustments'!$BI$3:$BT$4,2)*CQ9</f>
        <v>347069.46093749994</v>
      </c>
      <c r="AT9" s="511">
        <f>IF(BU9="In Service",'Maintenace Cost Assumptions'!$B$3*AS9,0)</f>
        <v>1735.3473046874997</v>
      </c>
      <c r="AU9" s="318">
        <v>4</v>
      </c>
      <c r="AV9" s="318">
        <v>4</v>
      </c>
      <c r="AW9" s="318">
        <v>4</v>
      </c>
      <c r="AX9" s="318">
        <v>4</v>
      </c>
      <c r="AY9" s="318">
        <v>4</v>
      </c>
      <c r="AZ9" s="318">
        <v>4</v>
      </c>
      <c r="BA9" s="318">
        <v>4</v>
      </c>
      <c r="BB9" s="318"/>
      <c r="BC9" s="318"/>
      <c r="BD9" s="318"/>
      <c r="BE9" s="318">
        <v>3</v>
      </c>
      <c r="BF9" s="318"/>
      <c r="BG9" s="332">
        <f>(AU9*'Condition rating weights'!H$8+AV9*'Condition rating weights'!I$8+AW9*'Condition rating weights'!J$8+AX9*'Condition rating weights'!K$8+AY9*'Condition rating weights'!L$8+AZ9*'Condition rating weights'!M$8+BA9*'Condition rating weights'!N$8+BB9*'Condition rating weights'!O$8+BC9*'Condition rating weights'!P$8+BD9*'Condition rating weights'!Q$8+BE9*'Condition rating weights'!R$8+BF9*'Condition rating weights'!S$8)/100</f>
        <v>0.74</v>
      </c>
      <c r="BH9" s="333">
        <v>1</v>
      </c>
      <c r="BI9" s="333">
        <v>111</v>
      </c>
      <c r="BJ9" s="333" t="s">
        <v>12</v>
      </c>
      <c r="BK9" s="333" t="s">
        <v>959</v>
      </c>
      <c r="BL9" s="333" t="s">
        <v>960</v>
      </c>
      <c r="BM9" s="333" t="s">
        <v>1030</v>
      </c>
      <c r="BN9" s="333" t="s">
        <v>117</v>
      </c>
      <c r="BO9" s="333" t="s">
        <v>962</v>
      </c>
      <c r="BP9" s="333" t="s">
        <v>962</v>
      </c>
      <c r="BQ9" s="333" t="s">
        <v>963</v>
      </c>
      <c r="BR9" s="333" t="s">
        <v>964</v>
      </c>
      <c r="BS9" s="333" t="s">
        <v>964</v>
      </c>
      <c r="BT9" s="334" t="s">
        <v>965</v>
      </c>
      <c r="BU9" s="335" t="s">
        <v>1429</v>
      </c>
      <c r="BV9" s="282"/>
      <c r="BW9" s="282"/>
      <c r="BX9" s="311" t="str">
        <f>'GRC and TUL Assumptions'!A9</f>
        <v>Fitouts</v>
      </c>
      <c r="BY9" s="350">
        <f>'GRC and TUL Assumptions'!C9</f>
        <v>250</v>
      </c>
      <c r="BZ9" s="350">
        <f>'GRC and TUL Assumptions'!D9</f>
        <v>350</v>
      </c>
      <c r="CA9" s="350">
        <f>'GRC and TUL Assumptions'!E9</f>
        <v>500</v>
      </c>
      <c r="CB9" s="350">
        <v>0</v>
      </c>
      <c r="CC9" s="350">
        <f>'GRC and TUL Assumptions'!F9</f>
        <v>40</v>
      </c>
      <c r="CD9" s="350">
        <f>'GRC and TUL Assumptions'!G9</f>
        <v>60</v>
      </c>
      <c r="CE9" s="350">
        <f>'GRC and TUL Assumptions'!H9</f>
        <v>60</v>
      </c>
      <c r="CF9" s="350">
        <f t="shared" si="37"/>
        <v>40</v>
      </c>
      <c r="CG9" s="351">
        <f t="shared" si="5"/>
        <v>22500</v>
      </c>
      <c r="CH9" s="351">
        <f t="shared" si="6"/>
        <v>75000</v>
      </c>
      <c r="CI9" s="351">
        <f t="shared" si="7"/>
        <v>15000</v>
      </c>
      <c r="CJ9" s="351">
        <f t="shared" si="8"/>
        <v>22500</v>
      </c>
      <c r="CK9" s="351">
        <f t="shared" si="9"/>
        <v>37500</v>
      </c>
      <c r="CL9" s="351">
        <f t="shared" si="10"/>
        <v>15000</v>
      </c>
      <c r="CM9" s="351">
        <f t="shared" si="11"/>
        <v>12000</v>
      </c>
      <c r="CN9" s="351">
        <f t="shared" si="12"/>
        <v>12000</v>
      </c>
      <c r="CO9" s="351">
        <f t="shared" si="13"/>
        <v>15000</v>
      </c>
      <c r="CP9" s="351">
        <f t="shared" si="14"/>
        <v>6000</v>
      </c>
      <c r="CQ9" s="352">
        <f t="shared" si="38"/>
        <v>232500</v>
      </c>
      <c r="CR9" s="353">
        <f>(HLOOKUP($AI9,'Inflation Adjustments'!$B$3:$BT$4,2,TRUE))*CG9</f>
        <v>23625</v>
      </c>
      <c r="CS9" s="353">
        <f>(HLOOKUP($AI9,'Inflation Adjustments'!$B$3:$BT$4,2,TRUE))*CH9</f>
        <v>78750</v>
      </c>
      <c r="CT9" s="353">
        <f>(HLOOKUP($AI9,'Inflation Adjustments'!$B$3:$BT$4,2,TRUE))*CI9</f>
        <v>15750</v>
      </c>
      <c r="CU9" s="353">
        <f>(HLOOKUP($AI9,'Inflation Adjustments'!$B$3:$BT$4,2,TRUE))*CJ9</f>
        <v>23625</v>
      </c>
      <c r="CV9" s="353">
        <f>(HLOOKUP($AI9,'Inflation Adjustments'!$B$3:$BT$4,2,TRUE))*CK9</f>
        <v>39375</v>
      </c>
      <c r="CW9" s="353">
        <f>(HLOOKUP($AI9,'Inflation Adjustments'!$B$3:$BT$4,2,TRUE))*CL9</f>
        <v>15750</v>
      </c>
      <c r="CX9" s="353">
        <f>(HLOOKUP($AI9,'Inflation Adjustments'!$B$3:$BT$4,2,TRUE))*CM9</f>
        <v>12600</v>
      </c>
      <c r="CY9" s="353">
        <f>(HLOOKUP($AI9,'Inflation Adjustments'!$B$3:$BT$4,2,TRUE))*CN9</f>
        <v>12600</v>
      </c>
      <c r="CZ9" s="353">
        <f>(HLOOKUP($AI9,'Inflation Adjustments'!$B$3:$BT$4,2,TRUE))*CO9</f>
        <v>15750</v>
      </c>
      <c r="DA9" s="353">
        <f>(HLOOKUP($AI9,'Inflation Adjustments'!$B$3:$BT$4,2,TRUE))*CP9</f>
        <v>6300</v>
      </c>
      <c r="DB9" s="353">
        <f t="shared" si="39"/>
        <v>244125</v>
      </c>
      <c r="DC9" s="354">
        <f t="shared" si="15"/>
        <v>2</v>
      </c>
      <c r="DD9" s="351">
        <f t="shared" si="16"/>
        <v>40</v>
      </c>
      <c r="DE9" s="351">
        <f t="shared" si="17"/>
        <v>40</v>
      </c>
      <c r="DF9" s="351">
        <f t="shared" si="18"/>
        <v>10</v>
      </c>
      <c r="DG9" s="351">
        <f t="shared" si="19"/>
        <v>20</v>
      </c>
      <c r="DH9" s="351">
        <f t="shared" si="20"/>
        <v>40</v>
      </c>
      <c r="DI9" s="351">
        <f t="shared" si="21"/>
        <v>20</v>
      </c>
      <c r="DJ9" s="351">
        <f t="shared" si="22"/>
        <v>10</v>
      </c>
      <c r="DK9" s="351">
        <f t="shared" si="23"/>
        <v>10</v>
      </c>
      <c r="DL9" s="351">
        <f t="shared" si="24"/>
        <v>20</v>
      </c>
      <c r="DM9" s="351">
        <f t="shared" si="25"/>
        <v>30</v>
      </c>
      <c r="DN9" s="355">
        <f t="shared" si="26"/>
        <v>590.625</v>
      </c>
      <c r="DO9" s="355">
        <f t="shared" si="27"/>
        <v>1968.75</v>
      </c>
      <c r="DP9" s="355">
        <f t="shared" si="27"/>
        <v>1575</v>
      </c>
      <c r="DQ9" s="355">
        <f t="shared" si="27"/>
        <v>1181.25</v>
      </c>
      <c r="DR9" s="355">
        <f t="shared" si="27"/>
        <v>984.375</v>
      </c>
      <c r="DS9" s="355">
        <f t="shared" si="27"/>
        <v>787.5</v>
      </c>
      <c r="DT9" s="355">
        <f t="shared" si="27"/>
        <v>1260</v>
      </c>
      <c r="DU9" s="355">
        <f t="shared" si="27"/>
        <v>1260</v>
      </c>
      <c r="DV9" s="355">
        <f t="shared" si="27"/>
        <v>787.5</v>
      </c>
      <c r="DW9" s="355">
        <f t="shared" si="27"/>
        <v>210</v>
      </c>
      <c r="DX9" s="355">
        <f t="shared" si="40"/>
        <v>10605</v>
      </c>
      <c r="DY9" s="351">
        <f t="shared" si="28"/>
        <v>1181.25</v>
      </c>
      <c r="DZ9" s="351">
        <f t="shared" si="29"/>
        <v>3937.5</v>
      </c>
      <c r="EA9" s="351">
        <f t="shared" si="29"/>
        <v>3150</v>
      </c>
      <c r="EB9" s="351">
        <f t="shared" si="29"/>
        <v>2362.5</v>
      </c>
      <c r="EC9" s="351">
        <f t="shared" si="29"/>
        <v>1968.75</v>
      </c>
      <c r="ED9" s="351">
        <f t="shared" si="29"/>
        <v>1575</v>
      </c>
      <c r="EE9" s="351">
        <f t="shared" si="29"/>
        <v>2520</v>
      </c>
      <c r="EF9" s="351">
        <f t="shared" si="29"/>
        <v>2520</v>
      </c>
      <c r="EG9" s="351">
        <f t="shared" si="29"/>
        <v>1575</v>
      </c>
      <c r="EH9" s="351">
        <f t="shared" si="29"/>
        <v>420</v>
      </c>
      <c r="EI9" s="352">
        <f t="shared" si="41"/>
        <v>21210</v>
      </c>
      <c r="EJ9" s="355">
        <f t="shared" si="30"/>
        <v>590.625</v>
      </c>
      <c r="EK9" s="355">
        <f t="shared" si="31"/>
        <v>1968.75</v>
      </c>
      <c r="EL9" s="355">
        <f t="shared" si="31"/>
        <v>1575</v>
      </c>
      <c r="EM9" s="355">
        <f t="shared" si="31"/>
        <v>1181.25</v>
      </c>
      <c r="EN9" s="355">
        <f t="shared" si="31"/>
        <v>984.375</v>
      </c>
      <c r="EO9" s="355">
        <f t="shared" si="31"/>
        <v>787.5</v>
      </c>
      <c r="EP9" s="355">
        <f t="shared" si="31"/>
        <v>1260</v>
      </c>
      <c r="EQ9" s="355">
        <f t="shared" si="31"/>
        <v>1260</v>
      </c>
      <c r="ER9" s="355">
        <f t="shared" si="31"/>
        <v>787.5</v>
      </c>
      <c r="ES9" s="355">
        <f t="shared" si="31"/>
        <v>210</v>
      </c>
      <c r="ET9" s="353">
        <f t="shared" si="42"/>
        <v>10605</v>
      </c>
      <c r="EU9" s="358"/>
      <c r="EV9" s="358"/>
      <c r="EW9" s="358"/>
      <c r="EX9" s="358"/>
      <c r="EY9" s="358"/>
      <c r="EZ9" s="358"/>
      <c r="FA9" s="358"/>
      <c r="FC9" s="630" t="s">
        <v>1589</v>
      </c>
      <c r="FD9" s="630"/>
      <c r="FE9" s="630"/>
      <c r="FF9" s="630"/>
      <c r="FG9" s="630"/>
    </row>
    <row r="10" spans="1:163" ht="35" customHeight="1" x14ac:dyDescent="0.3">
      <c r="A10" s="330" t="s">
        <v>1721</v>
      </c>
      <c r="B10" s="318" t="s">
        <v>1033</v>
      </c>
      <c r="C10" s="318" t="s">
        <v>72</v>
      </c>
      <c r="D10" s="318" t="s">
        <v>321</v>
      </c>
      <c r="E10" s="318" t="s">
        <v>8</v>
      </c>
      <c r="F10" s="318" t="s">
        <v>271</v>
      </c>
      <c r="G10" s="318" t="s">
        <v>723</v>
      </c>
      <c r="H10" s="318" t="s">
        <v>888</v>
      </c>
      <c r="I10" s="318" t="s">
        <v>889</v>
      </c>
      <c r="J10" s="318" t="s">
        <v>1043</v>
      </c>
      <c r="K10" s="318" t="s">
        <v>1050</v>
      </c>
      <c r="L10" s="318" t="s">
        <v>1055</v>
      </c>
      <c r="M10" s="318" t="s">
        <v>1060</v>
      </c>
      <c r="N10" s="318" t="s">
        <v>1069</v>
      </c>
      <c r="O10" s="318" t="s">
        <v>1072</v>
      </c>
      <c r="P10" s="318" t="s">
        <v>117</v>
      </c>
      <c r="Q10" s="318" t="s">
        <v>1080</v>
      </c>
      <c r="R10" s="318" t="s">
        <v>1086</v>
      </c>
      <c r="S10" s="318" t="s">
        <v>1089</v>
      </c>
      <c r="T10" s="318" t="s">
        <v>102</v>
      </c>
      <c r="U10" s="318" t="s">
        <v>102</v>
      </c>
      <c r="V10" s="318" t="s">
        <v>102</v>
      </c>
      <c r="W10" s="318" t="s">
        <v>102</v>
      </c>
      <c r="X10" s="318" t="s">
        <v>102</v>
      </c>
      <c r="Y10" s="318" t="s">
        <v>102</v>
      </c>
      <c r="Z10" s="318" t="s">
        <v>102</v>
      </c>
      <c r="AA10" s="318" t="s">
        <v>102</v>
      </c>
      <c r="AB10" s="318" t="s">
        <v>102</v>
      </c>
      <c r="AC10" s="318" t="s">
        <v>104</v>
      </c>
      <c r="AD10" s="318" t="s">
        <v>1771</v>
      </c>
      <c r="AE10" s="318">
        <v>60</v>
      </c>
      <c r="AF10" s="318">
        <v>40</v>
      </c>
      <c r="AG10" s="318">
        <v>2012</v>
      </c>
      <c r="AH10" s="318" t="s">
        <v>800</v>
      </c>
      <c r="AI10" s="318">
        <v>2012</v>
      </c>
      <c r="AJ10" s="318" t="str">
        <f t="shared" si="43"/>
        <v>Estimated</v>
      </c>
      <c r="AK10" s="318"/>
      <c r="AL10" s="318"/>
      <c r="AM10" s="317">
        <f t="shared" si="32"/>
        <v>75316.265184553849</v>
      </c>
      <c r="AN10" s="318" t="s">
        <v>800</v>
      </c>
      <c r="AO10" s="511">
        <f t="shared" si="33"/>
        <v>32718.03347802124</v>
      </c>
      <c r="AP10" s="511">
        <f t="shared" si="34"/>
        <v>42598.231706532606</v>
      </c>
      <c r="AQ10" s="511">
        <f t="shared" si="35"/>
        <v>2008.433738254769</v>
      </c>
      <c r="AR10" s="511">
        <f t="shared" si="36"/>
        <v>40589.797968277839</v>
      </c>
      <c r="AS10" s="511">
        <f>HLOOKUP($C$1,'Inflation Adjustments'!$BI$3:$BT$4,2)*CQ10</f>
        <v>138827.78437499999</v>
      </c>
      <c r="AT10" s="511">
        <f>IF(BU10="In Service",'Maintenace Cost Assumptions'!$B$3*AS10,0)</f>
        <v>694.13892187499994</v>
      </c>
      <c r="AU10" s="318">
        <v>3</v>
      </c>
      <c r="AV10" s="318">
        <v>3</v>
      </c>
      <c r="AW10" s="318">
        <v>3</v>
      </c>
      <c r="AX10" s="318">
        <v>3</v>
      </c>
      <c r="AY10" s="318">
        <v>3</v>
      </c>
      <c r="AZ10" s="318">
        <v>3</v>
      </c>
      <c r="BA10" s="318">
        <v>3</v>
      </c>
      <c r="BB10" s="318"/>
      <c r="BC10" s="318"/>
      <c r="BD10" s="318"/>
      <c r="BE10" s="318">
        <v>4</v>
      </c>
      <c r="BF10" s="318"/>
      <c r="BG10" s="332">
        <f>(AU10*'Condition rating weights'!H$8+AV10*'Condition rating weights'!I$8+AW10*'Condition rating weights'!J$8+AX10*'Condition rating weights'!K$8+AY10*'Condition rating weights'!L$8+AZ10*'Condition rating weights'!M$8+BA10*'Condition rating weights'!N$8+BB10*'Condition rating weights'!O$8+BC10*'Condition rating weights'!P$8+BD10*'Condition rating weights'!Q$8+BE10*'Condition rating weights'!R$8+BF10*'Condition rating weights'!S$8)/100</f>
        <v>0.66</v>
      </c>
      <c r="BH10" s="333">
        <v>1</v>
      </c>
      <c r="BI10" s="333">
        <v>211</v>
      </c>
      <c r="BJ10" s="333" t="s">
        <v>12</v>
      </c>
      <c r="BK10" s="333" t="s">
        <v>959</v>
      </c>
      <c r="BL10" s="333" t="s">
        <v>960</v>
      </c>
      <c r="BM10" s="333" t="s">
        <v>1015</v>
      </c>
      <c r="BN10" s="333" t="s">
        <v>117</v>
      </c>
      <c r="BO10" s="333" t="s">
        <v>962</v>
      </c>
      <c r="BP10" s="333" t="s">
        <v>962</v>
      </c>
      <c r="BQ10" s="333" t="s">
        <v>963</v>
      </c>
      <c r="BR10" s="333" t="s">
        <v>964</v>
      </c>
      <c r="BS10" s="333" t="s">
        <v>964</v>
      </c>
      <c r="BT10" s="334" t="s">
        <v>965</v>
      </c>
      <c r="BU10" s="335" t="s">
        <v>1429</v>
      </c>
      <c r="BV10" s="282"/>
      <c r="BW10" s="282"/>
      <c r="BX10" s="311" t="str">
        <f>'GRC and TUL Assumptions'!A10</f>
        <v>Floor Covering</v>
      </c>
      <c r="BY10" s="350">
        <f>'GRC and TUL Assumptions'!C10</f>
        <v>100</v>
      </c>
      <c r="BZ10" s="350">
        <f>'GRC and TUL Assumptions'!D10</f>
        <v>150</v>
      </c>
      <c r="CA10" s="350">
        <f>'GRC and TUL Assumptions'!E10</f>
        <v>300</v>
      </c>
      <c r="CB10" s="350">
        <v>0</v>
      </c>
      <c r="CC10" s="350">
        <f>'GRC and TUL Assumptions'!F10</f>
        <v>20</v>
      </c>
      <c r="CD10" s="350">
        <f>'GRC and TUL Assumptions'!G10</f>
        <v>30</v>
      </c>
      <c r="CE10" s="350">
        <f>'GRC and TUL Assumptions'!H10</f>
        <v>40</v>
      </c>
      <c r="CF10" s="350">
        <f t="shared" si="37"/>
        <v>20</v>
      </c>
      <c r="CG10" s="351">
        <f t="shared" si="5"/>
        <v>9000</v>
      </c>
      <c r="CH10" s="351">
        <f t="shared" si="6"/>
        <v>30000</v>
      </c>
      <c r="CI10" s="351">
        <f t="shared" si="7"/>
        <v>6000</v>
      </c>
      <c r="CJ10" s="351">
        <f t="shared" si="8"/>
        <v>9000</v>
      </c>
      <c r="CK10" s="351">
        <f t="shared" si="9"/>
        <v>15000</v>
      </c>
      <c r="CL10" s="351">
        <f t="shared" si="10"/>
        <v>6000</v>
      </c>
      <c r="CM10" s="351">
        <f t="shared" si="11"/>
        <v>4800</v>
      </c>
      <c r="CN10" s="351">
        <f t="shared" si="12"/>
        <v>4800</v>
      </c>
      <c r="CO10" s="351">
        <f t="shared" si="13"/>
        <v>6000</v>
      </c>
      <c r="CP10" s="351">
        <f t="shared" si="14"/>
        <v>2400</v>
      </c>
      <c r="CQ10" s="352">
        <f t="shared" si="38"/>
        <v>93000</v>
      </c>
      <c r="CR10" s="353">
        <f>(HLOOKUP($AI10,'Inflation Adjustments'!$B$3:$BT$4,2,TRUE))*CG10</f>
        <v>7288.6708243116618</v>
      </c>
      <c r="CS10" s="353">
        <f>(HLOOKUP($AI10,'Inflation Adjustments'!$B$3:$BT$4,2,TRUE))*CH10</f>
        <v>24295.569414372207</v>
      </c>
      <c r="CT10" s="353">
        <f>(HLOOKUP($AI10,'Inflation Adjustments'!$B$3:$BT$4,2,TRUE))*CI10</f>
        <v>4859.1138828744415</v>
      </c>
      <c r="CU10" s="353">
        <f>(HLOOKUP($AI10,'Inflation Adjustments'!$B$3:$BT$4,2,TRUE))*CJ10</f>
        <v>7288.6708243116618</v>
      </c>
      <c r="CV10" s="353">
        <f>(HLOOKUP($AI10,'Inflation Adjustments'!$B$3:$BT$4,2,TRUE))*CK10</f>
        <v>12147.784707186103</v>
      </c>
      <c r="CW10" s="353">
        <f>(HLOOKUP($AI10,'Inflation Adjustments'!$B$3:$BT$4,2,TRUE))*CL10</f>
        <v>4859.1138828744415</v>
      </c>
      <c r="CX10" s="353">
        <f>(HLOOKUP($AI10,'Inflation Adjustments'!$B$3:$BT$4,2,TRUE))*CM10</f>
        <v>3887.2911062995531</v>
      </c>
      <c r="CY10" s="353">
        <f>(HLOOKUP($AI10,'Inflation Adjustments'!$B$3:$BT$4,2,TRUE))*CN10</f>
        <v>3887.2911062995531</v>
      </c>
      <c r="CZ10" s="353">
        <f>(HLOOKUP($AI10,'Inflation Adjustments'!$B$3:$BT$4,2,TRUE))*CO10</f>
        <v>4859.1138828744415</v>
      </c>
      <c r="DA10" s="353">
        <f>(HLOOKUP($AI10,'Inflation Adjustments'!$B$3:$BT$4,2,TRUE))*CP10</f>
        <v>1943.6455531497766</v>
      </c>
      <c r="DB10" s="353">
        <f t="shared" si="39"/>
        <v>75316.265184553849</v>
      </c>
      <c r="DC10" s="354">
        <f t="shared" si="15"/>
        <v>10</v>
      </c>
      <c r="DD10" s="351">
        <f t="shared" si="16"/>
        <v>40</v>
      </c>
      <c r="DE10" s="351">
        <f t="shared" si="17"/>
        <v>40</v>
      </c>
      <c r="DF10" s="351">
        <f t="shared" si="18"/>
        <v>10</v>
      </c>
      <c r="DG10" s="351">
        <f t="shared" si="19"/>
        <v>20</v>
      </c>
      <c r="DH10" s="351">
        <f t="shared" si="20"/>
        <v>40</v>
      </c>
      <c r="DI10" s="351">
        <f t="shared" si="21"/>
        <v>20</v>
      </c>
      <c r="DJ10" s="351">
        <f t="shared" si="22"/>
        <v>10</v>
      </c>
      <c r="DK10" s="351">
        <f t="shared" si="23"/>
        <v>10</v>
      </c>
      <c r="DL10" s="351">
        <f t="shared" si="24"/>
        <v>20</v>
      </c>
      <c r="DM10" s="351">
        <f t="shared" si="25"/>
        <v>30</v>
      </c>
      <c r="DN10" s="355">
        <f t="shared" si="26"/>
        <v>182.21677060779155</v>
      </c>
      <c r="DO10" s="355">
        <f t="shared" si="27"/>
        <v>607.38923535930519</v>
      </c>
      <c r="DP10" s="355">
        <f t="shared" si="27"/>
        <v>485.91138828744414</v>
      </c>
      <c r="DQ10" s="355">
        <f t="shared" si="27"/>
        <v>364.43354121558309</v>
      </c>
      <c r="DR10" s="355">
        <f t="shared" si="27"/>
        <v>303.69461767965259</v>
      </c>
      <c r="DS10" s="355">
        <f t="shared" si="27"/>
        <v>242.95569414372207</v>
      </c>
      <c r="DT10" s="355">
        <f t="shared" si="27"/>
        <v>388.7291106299553</v>
      </c>
      <c r="DU10" s="355">
        <f t="shared" si="27"/>
        <v>388.7291106299553</v>
      </c>
      <c r="DV10" s="355">
        <f t="shared" si="27"/>
        <v>242.95569414372207</v>
      </c>
      <c r="DW10" s="355">
        <f t="shared" si="27"/>
        <v>64.78818510499255</v>
      </c>
      <c r="DX10" s="355">
        <f t="shared" si="40"/>
        <v>3271.8033478021239</v>
      </c>
      <c r="DY10" s="351">
        <f t="shared" si="28"/>
        <v>1822.1677060779155</v>
      </c>
      <c r="DZ10" s="351">
        <f t="shared" si="29"/>
        <v>6073.8923535930517</v>
      </c>
      <c r="EA10" s="351">
        <f t="shared" si="29"/>
        <v>4859.1138828744415</v>
      </c>
      <c r="EB10" s="351">
        <f t="shared" si="29"/>
        <v>3644.3354121558309</v>
      </c>
      <c r="EC10" s="351">
        <f t="shared" si="29"/>
        <v>3036.9461767965258</v>
      </c>
      <c r="ED10" s="351">
        <f t="shared" si="29"/>
        <v>2429.5569414372208</v>
      </c>
      <c r="EE10" s="351">
        <f t="shared" si="29"/>
        <v>3887.2911062995531</v>
      </c>
      <c r="EF10" s="351">
        <f t="shared" si="29"/>
        <v>3887.2911062995531</v>
      </c>
      <c r="EG10" s="351">
        <f t="shared" si="29"/>
        <v>2429.5569414372208</v>
      </c>
      <c r="EH10" s="351">
        <f t="shared" si="29"/>
        <v>647.88185104992544</v>
      </c>
      <c r="EI10" s="352">
        <f t="shared" si="41"/>
        <v>32718.03347802124</v>
      </c>
      <c r="EJ10" s="355">
        <f t="shared" si="30"/>
        <v>182.21677060779155</v>
      </c>
      <c r="EK10" s="355">
        <f t="shared" si="31"/>
        <v>607.38923535930519</v>
      </c>
      <c r="EL10" s="355">
        <f t="shared" si="31"/>
        <v>0</v>
      </c>
      <c r="EM10" s="355">
        <f t="shared" si="31"/>
        <v>364.43354121558309</v>
      </c>
      <c r="EN10" s="355">
        <f t="shared" si="31"/>
        <v>303.69461767965259</v>
      </c>
      <c r="EO10" s="355">
        <f t="shared" si="31"/>
        <v>242.95569414372207</v>
      </c>
      <c r="EP10" s="355">
        <f t="shared" si="31"/>
        <v>0</v>
      </c>
      <c r="EQ10" s="355">
        <f t="shared" si="31"/>
        <v>0</v>
      </c>
      <c r="ER10" s="355">
        <f t="shared" si="31"/>
        <v>242.95569414372207</v>
      </c>
      <c r="ES10" s="355">
        <f t="shared" si="31"/>
        <v>64.78818510499255</v>
      </c>
      <c r="ET10" s="353">
        <f t="shared" si="42"/>
        <v>2008.433738254769</v>
      </c>
      <c r="EU10" s="358"/>
      <c r="EV10" s="358"/>
      <c r="EW10" s="358"/>
      <c r="EX10" s="358"/>
      <c r="EY10" s="358"/>
      <c r="EZ10" s="358"/>
      <c r="FA10" s="358"/>
      <c r="FC10" s="582" t="s">
        <v>1590</v>
      </c>
      <c r="FD10" s="582"/>
      <c r="FE10" s="582"/>
      <c r="FF10" s="582"/>
      <c r="FG10" s="582"/>
    </row>
    <row r="11" spans="1:163" ht="35" customHeight="1" x14ac:dyDescent="0.3">
      <c r="A11" s="330" t="s">
        <v>1722</v>
      </c>
      <c r="B11" s="318" t="s">
        <v>1034</v>
      </c>
      <c r="C11" s="318" t="s">
        <v>72</v>
      </c>
      <c r="D11" s="318" t="s">
        <v>321</v>
      </c>
      <c r="E11" s="318" t="s">
        <v>8</v>
      </c>
      <c r="F11" s="318" t="s">
        <v>271</v>
      </c>
      <c r="G11" s="318" t="s">
        <v>723</v>
      </c>
      <c r="H11" s="318" t="s">
        <v>885</v>
      </c>
      <c r="I11" s="318" t="s">
        <v>886</v>
      </c>
      <c r="J11" s="318" t="s">
        <v>1043</v>
      </c>
      <c r="K11" s="318" t="s">
        <v>1050</v>
      </c>
      <c r="L11" s="318" t="s">
        <v>1055</v>
      </c>
      <c r="M11" s="318" t="s">
        <v>1060</v>
      </c>
      <c r="N11" s="318" t="s">
        <v>1069</v>
      </c>
      <c r="O11" s="318" t="s">
        <v>1072</v>
      </c>
      <c r="P11" s="318" t="s">
        <v>1079</v>
      </c>
      <c r="Q11" s="318" t="s">
        <v>1080</v>
      </c>
      <c r="R11" s="318" t="s">
        <v>1086</v>
      </c>
      <c r="S11" s="318" t="s">
        <v>1089</v>
      </c>
      <c r="T11" s="318" t="s">
        <v>102</v>
      </c>
      <c r="U11" s="318" t="s">
        <v>102</v>
      </c>
      <c r="V11" s="318" t="s">
        <v>102</v>
      </c>
      <c r="W11" s="318" t="s">
        <v>102</v>
      </c>
      <c r="X11" s="318" t="s">
        <v>102</v>
      </c>
      <c r="Y11" s="318" t="s">
        <v>102</v>
      </c>
      <c r="Z11" s="318" t="s">
        <v>102</v>
      </c>
      <c r="AA11" s="318" t="s">
        <v>102</v>
      </c>
      <c r="AB11" s="318" t="s">
        <v>102</v>
      </c>
      <c r="AC11" s="318" t="s">
        <v>104</v>
      </c>
      <c r="AD11" s="318" t="s">
        <v>1771</v>
      </c>
      <c r="AE11" s="318">
        <v>105</v>
      </c>
      <c r="AF11" s="318">
        <v>40</v>
      </c>
      <c r="AG11" s="318">
        <v>2006</v>
      </c>
      <c r="AH11" s="318" t="s">
        <v>800</v>
      </c>
      <c r="AI11" s="318">
        <v>2006</v>
      </c>
      <c r="AJ11" s="318" t="str">
        <f t="shared" si="43"/>
        <v>Estimated</v>
      </c>
      <c r="AK11" s="318"/>
      <c r="AL11" s="318"/>
      <c r="AM11" s="317">
        <f t="shared" si="32"/>
        <v>96645.90192793803</v>
      </c>
      <c r="AN11" s="318" t="s">
        <v>800</v>
      </c>
      <c r="AO11" s="511">
        <f t="shared" si="33"/>
        <v>57447.155468563578</v>
      </c>
      <c r="AP11" s="511">
        <f t="shared" si="34"/>
        <v>39198.746459374452</v>
      </c>
      <c r="AQ11" s="511">
        <f t="shared" si="35"/>
        <v>2577.2240514116802</v>
      </c>
      <c r="AR11" s="511">
        <f t="shared" si="36"/>
        <v>36621.522407962773</v>
      </c>
      <c r="AS11" s="511">
        <f>HLOOKUP($C$1,'Inflation Adjustments'!$BI$3:$BT$4,2)*CQ11</f>
        <v>242948.62265624997</v>
      </c>
      <c r="AT11" s="511">
        <f>IF(BU11="In Service",'Maintenace Cost Assumptions'!$B$3*AS11,0)</f>
        <v>1214.7431132812499</v>
      </c>
      <c r="AU11" s="318">
        <v>3</v>
      </c>
      <c r="AV11" s="318">
        <v>3</v>
      </c>
      <c r="AW11" s="318">
        <v>3</v>
      </c>
      <c r="AX11" s="318">
        <v>3</v>
      </c>
      <c r="AY11" s="318">
        <v>3</v>
      </c>
      <c r="AZ11" s="318">
        <v>3</v>
      </c>
      <c r="BA11" s="318">
        <v>3</v>
      </c>
      <c r="BB11" s="318"/>
      <c r="BC11" s="318"/>
      <c r="BD11" s="318"/>
      <c r="BE11" s="318">
        <v>4</v>
      </c>
      <c r="BF11" s="318"/>
      <c r="BG11" s="332">
        <f>(AU11*'Condition rating weights'!H$8+AV11*'Condition rating weights'!I$8+AW11*'Condition rating weights'!J$8+AX11*'Condition rating weights'!K$8+AY11*'Condition rating weights'!L$8+AZ11*'Condition rating weights'!M$8+BA11*'Condition rating weights'!N$8+BB11*'Condition rating weights'!O$8+BC11*'Condition rating weights'!P$8+BD11*'Condition rating weights'!Q$8+BE11*'Condition rating weights'!R$8+BF11*'Condition rating weights'!S$8)/100</f>
        <v>0.66</v>
      </c>
      <c r="BH11" s="333">
        <v>1</v>
      </c>
      <c r="BI11" s="333">
        <v>211</v>
      </c>
      <c r="BJ11" s="333" t="s">
        <v>12</v>
      </c>
      <c r="BK11" s="333" t="s">
        <v>959</v>
      </c>
      <c r="BL11" s="333" t="s">
        <v>960</v>
      </c>
      <c r="BM11" s="333" t="s">
        <v>1015</v>
      </c>
      <c r="BN11" s="333" t="s">
        <v>117</v>
      </c>
      <c r="BO11" s="333" t="s">
        <v>962</v>
      </c>
      <c r="BP11" s="333" t="s">
        <v>962</v>
      </c>
      <c r="BQ11" s="333" t="s">
        <v>963</v>
      </c>
      <c r="BR11" s="333" t="s">
        <v>964</v>
      </c>
      <c r="BS11" s="333" t="s">
        <v>964</v>
      </c>
      <c r="BT11" s="334" t="s">
        <v>965</v>
      </c>
      <c r="BU11" s="335" t="s">
        <v>1429</v>
      </c>
      <c r="BV11" s="282"/>
      <c r="BW11" s="282"/>
      <c r="BX11" s="311" t="str">
        <f>'GRC and TUL Assumptions'!A11</f>
        <v>Service Mechanical</v>
      </c>
      <c r="BY11" s="350">
        <f>'GRC and TUL Assumptions'!C11</f>
        <v>80</v>
      </c>
      <c r="BZ11" s="350">
        <f>'GRC and TUL Assumptions'!D11</f>
        <v>100</v>
      </c>
      <c r="CA11" s="350">
        <f>'GRC and TUL Assumptions'!E11</f>
        <v>150</v>
      </c>
      <c r="CB11" s="350">
        <v>0</v>
      </c>
      <c r="CC11" s="350">
        <f>'GRC and TUL Assumptions'!F11</f>
        <v>10</v>
      </c>
      <c r="CD11" s="350">
        <f>'GRC and TUL Assumptions'!G11</f>
        <v>20</v>
      </c>
      <c r="CE11" s="350">
        <f>'GRC and TUL Assumptions'!H11</f>
        <v>30</v>
      </c>
      <c r="CF11" s="350">
        <f t="shared" si="37"/>
        <v>10</v>
      </c>
      <c r="CG11" s="351">
        <f t="shared" si="5"/>
        <v>15750</v>
      </c>
      <c r="CH11" s="351">
        <f t="shared" si="6"/>
        <v>52500</v>
      </c>
      <c r="CI11" s="351">
        <f t="shared" si="7"/>
        <v>10500</v>
      </c>
      <c r="CJ11" s="351">
        <f t="shared" si="8"/>
        <v>15750</v>
      </c>
      <c r="CK11" s="351">
        <f t="shared" si="9"/>
        <v>26250</v>
      </c>
      <c r="CL11" s="351">
        <f t="shared" si="10"/>
        <v>10500</v>
      </c>
      <c r="CM11" s="351">
        <f t="shared" si="11"/>
        <v>8400</v>
      </c>
      <c r="CN11" s="351">
        <f t="shared" si="12"/>
        <v>8400</v>
      </c>
      <c r="CO11" s="351">
        <f t="shared" si="13"/>
        <v>10500</v>
      </c>
      <c r="CP11" s="351">
        <f t="shared" si="14"/>
        <v>4200</v>
      </c>
      <c r="CQ11" s="352">
        <f t="shared" si="38"/>
        <v>162750</v>
      </c>
      <c r="CR11" s="353">
        <f>(HLOOKUP($AI11,'Inflation Adjustments'!$B$3:$BT$4,2,TRUE))*CG11</f>
        <v>9352.8292188327123</v>
      </c>
      <c r="CS11" s="353">
        <f>(HLOOKUP($AI11,'Inflation Adjustments'!$B$3:$BT$4,2,TRUE))*CH11</f>
        <v>31176.097396109039</v>
      </c>
      <c r="CT11" s="353">
        <f>(HLOOKUP($AI11,'Inflation Adjustments'!$B$3:$BT$4,2,TRUE))*CI11</f>
        <v>6235.2194792218079</v>
      </c>
      <c r="CU11" s="353">
        <f>(HLOOKUP($AI11,'Inflation Adjustments'!$B$3:$BT$4,2,TRUE))*CJ11</f>
        <v>9352.8292188327123</v>
      </c>
      <c r="CV11" s="353">
        <f>(HLOOKUP($AI11,'Inflation Adjustments'!$B$3:$BT$4,2,TRUE))*CK11</f>
        <v>15588.048698054519</v>
      </c>
      <c r="CW11" s="353">
        <f>(HLOOKUP($AI11,'Inflation Adjustments'!$B$3:$BT$4,2,TRUE))*CL11</f>
        <v>6235.2194792218079</v>
      </c>
      <c r="CX11" s="353">
        <f>(HLOOKUP($AI11,'Inflation Adjustments'!$B$3:$BT$4,2,TRUE))*CM11</f>
        <v>4988.1755833774459</v>
      </c>
      <c r="CY11" s="353">
        <f>(HLOOKUP($AI11,'Inflation Adjustments'!$B$3:$BT$4,2,TRUE))*CN11</f>
        <v>4988.1755833774459</v>
      </c>
      <c r="CZ11" s="353">
        <f>(HLOOKUP($AI11,'Inflation Adjustments'!$B$3:$BT$4,2,TRUE))*CO11</f>
        <v>6235.2194792218079</v>
      </c>
      <c r="DA11" s="353">
        <f>(HLOOKUP($AI11,'Inflation Adjustments'!$B$3:$BT$4,2,TRUE))*CP11</f>
        <v>2494.087791688723</v>
      </c>
      <c r="DB11" s="353">
        <f t="shared" si="39"/>
        <v>96645.90192793803</v>
      </c>
      <c r="DC11" s="354">
        <f t="shared" si="15"/>
        <v>16</v>
      </c>
      <c r="DD11" s="351">
        <f t="shared" si="16"/>
        <v>40</v>
      </c>
      <c r="DE11" s="351">
        <f t="shared" si="17"/>
        <v>40</v>
      </c>
      <c r="DF11" s="351">
        <f t="shared" si="18"/>
        <v>10</v>
      </c>
      <c r="DG11" s="351">
        <f t="shared" si="19"/>
        <v>20</v>
      </c>
      <c r="DH11" s="351">
        <f t="shared" si="20"/>
        <v>40</v>
      </c>
      <c r="DI11" s="351">
        <f t="shared" si="21"/>
        <v>20</v>
      </c>
      <c r="DJ11" s="351">
        <f t="shared" si="22"/>
        <v>10</v>
      </c>
      <c r="DK11" s="351">
        <f t="shared" si="23"/>
        <v>10</v>
      </c>
      <c r="DL11" s="351">
        <f t="shared" si="24"/>
        <v>20</v>
      </c>
      <c r="DM11" s="351">
        <f t="shared" si="25"/>
        <v>30</v>
      </c>
      <c r="DN11" s="355">
        <f t="shared" si="26"/>
        <v>233.82073047081781</v>
      </c>
      <c r="DO11" s="355">
        <f t="shared" si="27"/>
        <v>779.40243490272599</v>
      </c>
      <c r="DP11" s="355">
        <f t="shared" si="27"/>
        <v>623.52194792218074</v>
      </c>
      <c r="DQ11" s="355">
        <f t="shared" si="27"/>
        <v>467.64146094163561</v>
      </c>
      <c r="DR11" s="355">
        <f t="shared" si="27"/>
        <v>389.70121745136299</v>
      </c>
      <c r="DS11" s="355">
        <f t="shared" si="27"/>
        <v>311.76097396109037</v>
      </c>
      <c r="DT11" s="355">
        <f t="shared" si="27"/>
        <v>498.81755833774457</v>
      </c>
      <c r="DU11" s="355">
        <f t="shared" si="27"/>
        <v>498.81755833774457</v>
      </c>
      <c r="DV11" s="355">
        <f t="shared" si="27"/>
        <v>311.76097396109037</v>
      </c>
      <c r="DW11" s="355">
        <f t="shared" si="27"/>
        <v>83.136259722957433</v>
      </c>
      <c r="DX11" s="355">
        <f t="shared" si="40"/>
        <v>4198.3811160093501</v>
      </c>
      <c r="DY11" s="351">
        <f t="shared" si="28"/>
        <v>3741.1316875330849</v>
      </c>
      <c r="DZ11" s="351">
        <f t="shared" si="29"/>
        <v>12470.438958443616</v>
      </c>
      <c r="EA11" s="351">
        <f t="shared" si="29"/>
        <v>6235.2194792218079</v>
      </c>
      <c r="EB11" s="351">
        <f t="shared" si="29"/>
        <v>7482.2633750661698</v>
      </c>
      <c r="EC11" s="351">
        <f t="shared" si="29"/>
        <v>6235.2194792218079</v>
      </c>
      <c r="ED11" s="351">
        <f t="shared" si="29"/>
        <v>4988.1755833774459</v>
      </c>
      <c r="EE11" s="351">
        <f t="shared" si="29"/>
        <v>4988.1755833774459</v>
      </c>
      <c r="EF11" s="351">
        <f t="shared" si="29"/>
        <v>4988.1755833774459</v>
      </c>
      <c r="EG11" s="351">
        <f t="shared" si="29"/>
        <v>4988.1755833774459</v>
      </c>
      <c r="EH11" s="351">
        <f t="shared" si="29"/>
        <v>1330.1801555673189</v>
      </c>
      <c r="EI11" s="352">
        <f t="shared" si="41"/>
        <v>57447.155468563578</v>
      </c>
      <c r="EJ11" s="355">
        <f t="shared" si="30"/>
        <v>233.82073047081781</v>
      </c>
      <c r="EK11" s="355">
        <f t="shared" si="31"/>
        <v>779.40243490272599</v>
      </c>
      <c r="EL11" s="355">
        <f t="shared" si="31"/>
        <v>0</v>
      </c>
      <c r="EM11" s="355">
        <f t="shared" si="31"/>
        <v>467.64146094163561</v>
      </c>
      <c r="EN11" s="355">
        <f t="shared" si="31"/>
        <v>389.70121745136299</v>
      </c>
      <c r="EO11" s="355">
        <f t="shared" si="31"/>
        <v>311.76097396109037</v>
      </c>
      <c r="EP11" s="355">
        <f t="shared" si="31"/>
        <v>0</v>
      </c>
      <c r="EQ11" s="355">
        <f t="shared" si="31"/>
        <v>0</v>
      </c>
      <c r="ER11" s="355">
        <f t="shared" si="31"/>
        <v>311.76097396109037</v>
      </c>
      <c r="ES11" s="355">
        <f t="shared" si="31"/>
        <v>83.136259722957433</v>
      </c>
      <c r="ET11" s="353">
        <f t="shared" si="42"/>
        <v>2577.2240514116802</v>
      </c>
      <c r="EU11" s="358"/>
      <c r="EV11" s="358"/>
      <c r="EW11" s="358"/>
      <c r="EX11" s="358"/>
      <c r="EY11" s="358"/>
      <c r="EZ11" s="358"/>
      <c r="FA11" s="358"/>
      <c r="FC11" s="582" t="s">
        <v>1590</v>
      </c>
      <c r="FD11" s="582"/>
      <c r="FE11" s="582"/>
      <c r="FF11" s="582"/>
      <c r="FG11" s="582"/>
    </row>
    <row r="12" spans="1:163" ht="35" customHeight="1" x14ac:dyDescent="0.3">
      <c r="A12" s="330" t="s">
        <v>1723</v>
      </c>
      <c r="B12" s="318" t="s">
        <v>1035</v>
      </c>
      <c r="C12" s="318" t="s">
        <v>72</v>
      </c>
      <c r="D12" s="318" t="s">
        <v>77</v>
      </c>
      <c r="E12" s="318" t="s">
        <v>8</v>
      </c>
      <c r="F12" s="318" t="s">
        <v>278</v>
      </c>
      <c r="G12" s="318" t="s">
        <v>723</v>
      </c>
      <c r="H12" s="318" t="s">
        <v>890</v>
      </c>
      <c r="I12" s="318" t="s">
        <v>1595</v>
      </c>
      <c r="J12" s="318" t="s">
        <v>1044</v>
      </c>
      <c r="K12" s="318" t="s">
        <v>1050</v>
      </c>
      <c r="L12" s="318" t="s">
        <v>1055</v>
      </c>
      <c r="M12" s="318" t="s">
        <v>1062</v>
      </c>
      <c r="N12" s="318" t="s">
        <v>1069</v>
      </c>
      <c r="O12" s="318" t="s">
        <v>1072</v>
      </c>
      <c r="P12" s="318" t="s">
        <v>1079</v>
      </c>
      <c r="Q12" s="318" t="s">
        <v>1080</v>
      </c>
      <c r="R12" s="318" t="s">
        <v>1085</v>
      </c>
      <c r="S12" s="318" t="s">
        <v>1089</v>
      </c>
      <c r="T12" s="318" t="s">
        <v>102</v>
      </c>
      <c r="U12" s="318" t="s">
        <v>102</v>
      </c>
      <c r="V12" s="318" t="s">
        <v>102</v>
      </c>
      <c r="W12" s="318" t="s">
        <v>102</v>
      </c>
      <c r="X12" s="318" t="s">
        <v>102</v>
      </c>
      <c r="Y12" s="318" t="s">
        <v>102</v>
      </c>
      <c r="Z12" s="318" t="s">
        <v>102</v>
      </c>
      <c r="AA12" s="318" t="s">
        <v>102</v>
      </c>
      <c r="AB12" s="318" t="s">
        <v>102</v>
      </c>
      <c r="AC12" s="318" t="s">
        <v>104</v>
      </c>
      <c r="AD12" s="318" t="s">
        <v>1771</v>
      </c>
      <c r="AE12" s="318">
        <v>312</v>
      </c>
      <c r="AF12" s="318">
        <v>40</v>
      </c>
      <c r="AG12" s="318">
        <v>2006</v>
      </c>
      <c r="AH12" s="318" t="s">
        <v>800</v>
      </c>
      <c r="AI12" s="318">
        <f t="shared" si="49"/>
        <v>2006</v>
      </c>
      <c r="AJ12" s="318" t="str">
        <f t="shared" si="43"/>
        <v>Estimated</v>
      </c>
      <c r="AK12" s="318"/>
      <c r="AL12" s="318"/>
      <c r="AM12" s="317">
        <f t="shared" si="32"/>
        <v>287176.39430015866</v>
      </c>
      <c r="AN12" s="318" t="s">
        <v>800</v>
      </c>
      <c r="AO12" s="511">
        <f t="shared" si="33"/>
        <v>170700.11910658897</v>
      </c>
      <c r="AP12" s="511">
        <f t="shared" si="34"/>
        <v>116476.27519356969</v>
      </c>
      <c r="AQ12" s="511">
        <f t="shared" si="35"/>
        <v>7658.0371813375668</v>
      </c>
      <c r="AR12" s="511">
        <f t="shared" si="36"/>
        <v>108818.23801223212</v>
      </c>
      <c r="AS12" s="511">
        <f>HLOOKUP($C$1,'Inflation Adjustments'!$BI$3:$BT$4,2)*CQ12</f>
        <v>721904.47874999989</v>
      </c>
      <c r="AT12" s="511">
        <f>IF(BU12="In Service",'Maintenace Cost Assumptions'!$B$3*AS12,0)</f>
        <v>3609.5223937499995</v>
      </c>
      <c r="AU12" s="318">
        <v>3</v>
      </c>
      <c r="AV12" s="318">
        <v>3</v>
      </c>
      <c r="AW12" s="318">
        <v>3</v>
      </c>
      <c r="AX12" s="318">
        <v>3</v>
      </c>
      <c r="AY12" s="318">
        <v>3</v>
      </c>
      <c r="AZ12" s="318">
        <v>3</v>
      </c>
      <c r="BA12" s="318">
        <v>3</v>
      </c>
      <c r="BB12" s="318"/>
      <c r="BC12" s="318"/>
      <c r="BD12" s="318"/>
      <c r="BE12" s="318">
        <v>3</v>
      </c>
      <c r="BF12" s="318"/>
      <c r="BG12" s="332">
        <f>(AU12*'Condition rating weights'!H$8+AV12*'Condition rating weights'!I$8+AW12*'Condition rating weights'!J$8+AX12*'Condition rating weights'!K$8+AY12*'Condition rating weights'!L$8+AZ12*'Condition rating weights'!M$8+BA12*'Condition rating weights'!N$8+BB12*'Condition rating weights'!O$8+BC12*'Condition rating weights'!P$8+BD12*'Condition rating weights'!Q$8+BE12*'Condition rating weights'!R$8+BF12*'Condition rating weights'!S$8)/100</f>
        <v>0.6</v>
      </c>
      <c r="BH12" s="333">
        <v>1</v>
      </c>
      <c r="BI12" s="333">
        <v>411</v>
      </c>
      <c r="BJ12" s="333" t="s">
        <v>12</v>
      </c>
      <c r="BK12" s="333" t="s">
        <v>959</v>
      </c>
      <c r="BL12" s="333" t="s">
        <v>960</v>
      </c>
      <c r="BM12" s="333" t="s">
        <v>1015</v>
      </c>
      <c r="BN12" s="333" t="s">
        <v>117</v>
      </c>
      <c r="BO12" s="333" t="s">
        <v>962</v>
      </c>
      <c r="BP12" s="333" t="s">
        <v>962</v>
      </c>
      <c r="BQ12" s="333" t="s">
        <v>978</v>
      </c>
      <c r="BR12" s="333" t="s">
        <v>964</v>
      </c>
      <c r="BS12" s="333" t="s">
        <v>964</v>
      </c>
      <c r="BT12" s="334" t="s">
        <v>965</v>
      </c>
      <c r="BU12" s="335" t="s">
        <v>1429</v>
      </c>
      <c r="BV12" s="282"/>
      <c r="BW12" s="282"/>
      <c r="BX12" s="311" t="str">
        <f>'GRC and TUL Assumptions'!A12</f>
        <v>Services Electrical</v>
      </c>
      <c r="BY12" s="350">
        <f>'GRC and TUL Assumptions'!C12</f>
        <v>80</v>
      </c>
      <c r="BZ12" s="350">
        <f>'GRC and TUL Assumptions'!D12</f>
        <v>100</v>
      </c>
      <c r="CA12" s="350">
        <f>'GRC and TUL Assumptions'!E12</f>
        <v>150</v>
      </c>
      <c r="CB12" s="350">
        <v>0</v>
      </c>
      <c r="CC12" s="350">
        <f>'GRC and TUL Assumptions'!F12</f>
        <v>20</v>
      </c>
      <c r="CD12" s="350">
        <f>'GRC and TUL Assumptions'!G12</f>
        <v>30</v>
      </c>
      <c r="CE12" s="350">
        <f>'GRC and TUL Assumptions'!H12</f>
        <v>40</v>
      </c>
      <c r="CF12" s="350">
        <f t="shared" si="37"/>
        <v>20</v>
      </c>
      <c r="CG12" s="351">
        <f t="shared" si="5"/>
        <v>46800</v>
      </c>
      <c r="CH12" s="351">
        <f t="shared" si="6"/>
        <v>156000</v>
      </c>
      <c r="CI12" s="351">
        <f t="shared" si="7"/>
        <v>31200</v>
      </c>
      <c r="CJ12" s="351">
        <f t="shared" si="8"/>
        <v>46800</v>
      </c>
      <c r="CK12" s="351">
        <f t="shared" si="9"/>
        <v>78000</v>
      </c>
      <c r="CL12" s="351">
        <f t="shared" si="10"/>
        <v>31200</v>
      </c>
      <c r="CM12" s="351">
        <f t="shared" si="11"/>
        <v>24960</v>
      </c>
      <c r="CN12" s="351">
        <f t="shared" si="12"/>
        <v>24960</v>
      </c>
      <c r="CO12" s="351">
        <f t="shared" si="13"/>
        <v>31200</v>
      </c>
      <c r="CP12" s="351">
        <f t="shared" si="14"/>
        <v>12480</v>
      </c>
      <c r="CQ12" s="352">
        <f t="shared" si="38"/>
        <v>483600</v>
      </c>
      <c r="CR12" s="353">
        <f>(HLOOKUP($AI12,'Inflation Adjustments'!$B$3:$BT$4,2,TRUE))*CG12</f>
        <v>27791.263964531488</v>
      </c>
      <c r="CS12" s="353">
        <f>(HLOOKUP($AI12,'Inflation Adjustments'!$B$3:$BT$4,2,TRUE))*CH12</f>
        <v>92637.546548438288</v>
      </c>
      <c r="CT12" s="353">
        <f>(HLOOKUP($AI12,'Inflation Adjustments'!$B$3:$BT$4,2,TRUE))*CI12</f>
        <v>18527.509309687659</v>
      </c>
      <c r="CU12" s="353">
        <f>(HLOOKUP($AI12,'Inflation Adjustments'!$B$3:$BT$4,2,TRUE))*CJ12</f>
        <v>27791.263964531488</v>
      </c>
      <c r="CV12" s="353">
        <f>(HLOOKUP($AI12,'Inflation Adjustments'!$B$3:$BT$4,2,TRUE))*CK12</f>
        <v>46318.773274219144</v>
      </c>
      <c r="CW12" s="353">
        <f>(HLOOKUP($AI12,'Inflation Adjustments'!$B$3:$BT$4,2,TRUE))*CL12</f>
        <v>18527.509309687659</v>
      </c>
      <c r="CX12" s="353">
        <f>(HLOOKUP($AI12,'Inflation Adjustments'!$B$3:$BT$4,2,TRUE))*CM12</f>
        <v>14822.007447750126</v>
      </c>
      <c r="CY12" s="353">
        <f>(HLOOKUP($AI12,'Inflation Adjustments'!$B$3:$BT$4,2,TRUE))*CN12</f>
        <v>14822.007447750126</v>
      </c>
      <c r="CZ12" s="353">
        <f>(HLOOKUP($AI12,'Inflation Adjustments'!$B$3:$BT$4,2,TRUE))*CO12</f>
        <v>18527.509309687659</v>
      </c>
      <c r="DA12" s="353">
        <f>(HLOOKUP($AI12,'Inflation Adjustments'!$B$3:$BT$4,2,TRUE))*CP12</f>
        <v>7411.0037238750629</v>
      </c>
      <c r="DB12" s="353">
        <f t="shared" si="39"/>
        <v>287176.39430015866</v>
      </c>
      <c r="DC12" s="354">
        <f t="shared" si="15"/>
        <v>16</v>
      </c>
      <c r="DD12" s="351">
        <f t="shared" si="16"/>
        <v>40</v>
      </c>
      <c r="DE12" s="351">
        <f t="shared" si="17"/>
        <v>40</v>
      </c>
      <c r="DF12" s="351">
        <f t="shared" si="18"/>
        <v>10</v>
      </c>
      <c r="DG12" s="351">
        <f t="shared" si="19"/>
        <v>20</v>
      </c>
      <c r="DH12" s="351">
        <f t="shared" si="20"/>
        <v>40</v>
      </c>
      <c r="DI12" s="351">
        <f t="shared" si="21"/>
        <v>20</v>
      </c>
      <c r="DJ12" s="351">
        <f t="shared" si="22"/>
        <v>10</v>
      </c>
      <c r="DK12" s="351">
        <f t="shared" si="23"/>
        <v>10</v>
      </c>
      <c r="DL12" s="351">
        <f t="shared" si="24"/>
        <v>20</v>
      </c>
      <c r="DM12" s="351">
        <f t="shared" si="25"/>
        <v>30</v>
      </c>
      <c r="DN12" s="355">
        <f t="shared" si="26"/>
        <v>694.78159911328726</v>
      </c>
      <c r="DO12" s="355">
        <f t="shared" si="27"/>
        <v>2315.9386637109574</v>
      </c>
      <c r="DP12" s="355">
        <f t="shared" si="27"/>
        <v>1852.7509309687659</v>
      </c>
      <c r="DQ12" s="355">
        <f t="shared" si="27"/>
        <v>1389.5631982265745</v>
      </c>
      <c r="DR12" s="355">
        <f t="shared" si="27"/>
        <v>1157.9693318554787</v>
      </c>
      <c r="DS12" s="355">
        <f t="shared" si="27"/>
        <v>926.37546548438297</v>
      </c>
      <c r="DT12" s="355">
        <f t="shared" si="27"/>
        <v>1482.2007447750125</v>
      </c>
      <c r="DU12" s="355">
        <f t="shared" si="27"/>
        <v>1482.2007447750125</v>
      </c>
      <c r="DV12" s="355">
        <f t="shared" si="27"/>
        <v>926.37546548438297</v>
      </c>
      <c r="DW12" s="355">
        <f t="shared" si="27"/>
        <v>247.0334574625021</v>
      </c>
      <c r="DX12" s="355">
        <f t="shared" si="40"/>
        <v>12475.189601856357</v>
      </c>
      <c r="DY12" s="351">
        <f t="shared" si="28"/>
        <v>11116.505585812596</v>
      </c>
      <c r="DZ12" s="351">
        <f t="shared" si="29"/>
        <v>37055.018619375318</v>
      </c>
      <c r="EA12" s="351">
        <f t="shared" si="29"/>
        <v>18527.509309687659</v>
      </c>
      <c r="EB12" s="351">
        <f t="shared" si="29"/>
        <v>22233.011171625192</v>
      </c>
      <c r="EC12" s="351">
        <f t="shared" si="29"/>
        <v>18527.509309687659</v>
      </c>
      <c r="ED12" s="351">
        <f t="shared" si="29"/>
        <v>14822.007447750128</v>
      </c>
      <c r="EE12" s="351">
        <f t="shared" si="29"/>
        <v>14822.007447750126</v>
      </c>
      <c r="EF12" s="351">
        <f t="shared" si="29"/>
        <v>14822.007447750126</v>
      </c>
      <c r="EG12" s="351">
        <f t="shared" si="29"/>
        <v>14822.007447750128</v>
      </c>
      <c r="EH12" s="351">
        <f t="shared" si="29"/>
        <v>3952.5353194000336</v>
      </c>
      <c r="EI12" s="352">
        <f t="shared" si="41"/>
        <v>170700.11910658897</v>
      </c>
      <c r="EJ12" s="355">
        <f t="shared" si="30"/>
        <v>694.78159911328726</v>
      </c>
      <c r="EK12" s="355">
        <f t="shared" si="31"/>
        <v>2315.9386637109574</v>
      </c>
      <c r="EL12" s="355">
        <f t="shared" si="31"/>
        <v>0</v>
      </c>
      <c r="EM12" s="355">
        <f t="shared" si="31"/>
        <v>1389.5631982265745</v>
      </c>
      <c r="EN12" s="355">
        <f t="shared" si="31"/>
        <v>1157.9693318554787</v>
      </c>
      <c r="EO12" s="355">
        <f t="shared" si="31"/>
        <v>926.37546548438297</v>
      </c>
      <c r="EP12" s="355">
        <f t="shared" si="31"/>
        <v>0</v>
      </c>
      <c r="EQ12" s="355">
        <f t="shared" si="31"/>
        <v>0</v>
      </c>
      <c r="ER12" s="355">
        <f t="shared" si="31"/>
        <v>926.37546548438297</v>
      </c>
      <c r="ES12" s="355">
        <f t="shared" si="31"/>
        <v>247.0334574625021</v>
      </c>
      <c r="ET12" s="353">
        <f t="shared" si="42"/>
        <v>7658.0371813375668</v>
      </c>
      <c r="EU12" s="358"/>
      <c r="EV12" s="358"/>
      <c r="EW12" s="358"/>
      <c r="EX12" s="358"/>
      <c r="EY12" s="358"/>
      <c r="EZ12" s="358"/>
      <c r="FA12" s="358"/>
      <c r="FC12" s="583" t="s">
        <v>1597</v>
      </c>
      <c r="FD12" s="583"/>
      <c r="FE12" s="583"/>
      <c r="FF12" s="583"/>
      <c r="FG12" s="583"/>
    </row>
    <row r="13" spans="1:163" ht="35" customHeight="1" x14ac:dyDescent="0.3">
      <c r="A13" s="330" t="s">
        <v>1724</v>
      </c>
      <c r="B13" s="318" t="s">
        <v>1035</v>
      </c>
      <c r="C13" s="318" t="s">
        <v>72</v>
      </c>
      <c r="D13" s="318" t="s">
        <v>77</v>
      </c>
      <c r="E13" s="318" t="s">
        <v>8</v>
      </c>
      <c r="F13" s="318" t="s">
        <v>278</v>
      </c>
      <c r="G13" s="318" t="s">
        <v>723</v>
      </c>
      <c r="H13" s="318" t="s">
        <v>890</v>
      </c>
      <c r="I13" s="318" t="s">
        <v>1595</v>
      </c>
      <c r="J13" s="318" t="s">
        <v>1044</v>
      </c>
      <c r="K13" s="318" t="s">
        <v>1050</v>
      </c>
      <c r="L13" s="318" t="s">
        <v>1055</v>
      </c>
      <c r="M13" s="318" t="s">
        <v>1062</v>
      </c>
      <c r="N13" s="318" t="s">
        <v>1069</v>
      </c>
      <c r="O13" s="318" t="s">
        <v>1072</v>
      </c>
      <c r="P13" s="318" t="s">
        <v>1079</v>
      </c>
      <c r="Q13" s="318" t="s">
        <v>1080</v>
      </c>
      <c r="R13" s="318" t="s">
        <v>1085</v>
      </c>
      <c r="S13" s="318" t="s">
        <v>1089</v>
      </c>
      <c r="T13" s="318" t="s">
        <v>102</v>
      </c>
      <c r="U13" s="318" t="s">
        <v>102</v>
      </c>
      <c r="V13" s="318" t="s">
        <v>102</v>
      </c>
      <c r="W13" s="318" t="s">
        <v>102</v>
      </c>
      <c r="X13" s="318" t="s">
        <v>102</v>
      </c>
      <c r="Y13" s="318" t="s">
        <v>102</v>
      </c>
      <c r="Z13" s="318" t="s">
        <v>102</v>
      </c>
      <c r="AA13" s="318" t="s">
        <v>102</v>
      </c>
      <c r="AB13" s="318" t="s">
        <v>102</v>
      </c>
      <c r="AC13" s="318" t="s">
        <v>104</v>
      </c>
      <c r="AD13" s="318" t="s">
        <v>1771</v>
      </c>
      <c r="AE13" s="318">
        <v>84</v>
      </c>
      <c r="AF13" s="318">
        <v>40</v>
      </c>
      <c r="AG13" s="318">
        <v>2006</v>
      </c>
      <c r="AH13" s="318" t="s">
        <v>800</v>
      </c>
      <c r="AI13" s="318">
        <f t="shared" si="49"/>
        <v>2006</v>
      </c>
      <c r="AJ13" s="318" t="str">
        <f t="shared" si="43"/>
        <v>Estimated</v>
      </c>
      <c r="AK13" s="318">
        <v>2010</v>
      </c>
      <c r="AL13" s="318" t="s">
        <v>1182</v>
      </c>
      <c r="AM13" s="317">
        <f t="shared" si="32"/>
        <v>134822.63375066168</v>
      </c>
      <c r="AN13" s="318" t="s">
        <v>800</v>
      </c>
      <c r="AO13" s="511">
        <f t="shared" si="33"/>
        <v>61463.636583162144</v>
      </c>
      <c r="AP13" s="511">
        <f t="shared" si="34"/>
        <v>73358.997167499532</v>
      </c>
      <c r="AQ13" s="511">
        <f t="shared" si="35"/>
        <v>5061.7792411293449</v>
      </c>
      <c r="AR13" s="511">
        <f t="shared" si="36"/>
        <v>68297.217926370184</v>
      </c>
      <c r="AS13" s="511">
        <f>HLOOKUP($C$1,'Inflation Adjustments'!$BI$3:$BT$4,2)*CQ13</f>
        <v>188089.25624999998</v>
      </c>
      <c r="AT13" s="511">
        <f>IF(BU13="In Service",'Maintenace Cost Assumptions'!$B$3*AS13,0)</f>
        <v>940.44628124999986</v>
      </c>
      <c r="AU13" s="318">
        <v>3</v>
      </c>
      <c r="AV13" s="318">
        <v>3</v>
      </c>
      <c r="AW13" s="318">
        <v>2</v>
      </c>
      <c r="AX13" s="318">
        <v>3</v>
      </c>
      <c r="AY13" s="318">
        <v>3</v>
      </c>
      <c r="AZ13" s="318">
        <v>2</v>
      </c>
      <c r="BA13" s="318">
        <v>3</v>
      </c>
      <c r="BB13" s="318"/>
      <c r="BC13" s="318"/>
      <c r="BD13" s="318"/>
      <c r="BE13" s="318">
        <v>3</v>
      </c>
      <c r="BF13" s="318"/>
      <c r="BG13" s="332">
        <f>(AU13*'Condition rating weights'!H$8+AV13*'Condition rating weights'!I$8+AW13*'Condition rating weights'!J$8+AX13*'Condition rating weights'!K$8+AY13*'Condition rating weights'!L$8+AZ13*'Condition rating weights'!M$8+BA13*'Condition rating weights'!N$8+BB13*'Condition rating weights'!O$8+BC13*'Condition rating weights'!P$8+BD13*'Condition rating weights'!Q$8+BE13*'Condition rating weights'!R$8+BF13*'Condition rating weights'!S$8)/100</f>
        <v>0.57999999999999996</v>
      </c>
      <c r="BH13" s="333">
        <v>2</v>
      </c>
      <c r="BI13" s="333">
        <v>411</v>
      </c>
      <c r="BJ13" s="333" t="s">
        <v>12</v>
      </c>
      <c r="BK13" s="333" t="s">
        <v>959</v>
      </c>
      <c r="BL13" s="333" t="s">
        <v>960</v>
      </c>
      <c r="BM13" s="333" t="s">
        <v>1015</v>
      </c>
      <c r="BN13" s="333" t="s">
        <v>117</v>
      </c>
      <c r="BO13" s="333" t="s">
        <v>962</v>
      </c>
      <c r="BP13" s="333" t="s">
        <v>962</v>
      </c>
      <c r="BQ13" s="333" t="s">
        <v>978</v>
      </c>
      <c r="BR13" s="333" t="s">
        <v>964</v>
      </c>
      <c r="BS13" s="333" t="s">
        <v>964</v>
      </c>
      <c r="BT13" s="334" t="s">
        <v>965</v>
      </c>
      <c r="BU13" s="335" t="s">
        <v>1429</v>
      </c>
      <c r="BV13" s="282"/>
      <c r="BW13" s="282"/>
      <c r="BX13" s="311" t="str">
        <f>'GRC and TUL Assumptions'!A13</f>
        <v>Services Sanitation</v>
      </c>
      <c r="BY13" s="350">
        <f>'GRC and TUL Assumptions'!C13</f>
        <v>100</v>
      </c>
      <c r="BZ13" s="350">
        <f>'GRC and TUL Assumptions'!D13</f>
        <v>130</v>
      </c>
      <c r="CA13" s="350">
        <f>'GRC and TUL Assumptions'!E13</f>
        <v>150</v>
      </c>
      <c r="CB13" s="350">
        <v>0</v>
      </c>
      <c r="CC13" s="350">
        <f>'GRC and TUL Assumptions'!F13</f>
        <v>20</v>
      </c>
      <c r="CD13" s="350">
        <f>'GRC and TUL Assumptions'!G13</f>
        <v>30</v>
      </c>
      <c r="CE13" s="350">
        <f>'GRC and TUL Assumptions'!H13</f>
        <v>40</v>
      </c>
      <c r="CF13" s="350">
        <f t="shared" si="37"/>
        <v>20</v>
      </c>
      <c r="CG13" s="351">
        <f t="shared" si="5"/>
        <v>12600</v>
      </c>
      <c r="CH13" s="351">
        <f t="shared" si="6"/>
        <v>42000</v>
      </c>
      <c r="CI13" s="351">
        <f t="shared" si="7"/>
        <v>4200</v>
      </c>
      <c r="CJ13" s="351">
        <f t="shared" si="8"/>
        <v>12600</v>
      </c>
      <c r="CK13" s="351">
        <f t="shared" si="9"/>
        <v>21000</v>
      </c>
      <c r="CL13" s="351">
        <f t="shared" si="10"/>
        <v>8400</v>
      </c>
      <c r="CM13" s="351">
        <f t="shared" si="11"/>
        <v>6720</v>
      </c>
      <c r="CN13" s="351">
        <f t="shared" si="12"/>
        <v>6720</v>
      </c>
      <c r="CO13" s="351">
        <f t="shared" si="13"/>
        <v>8400</v>
      </c>
      <c r="CP13" s="351">
        <f t="shared" si="14"/>
        <v>3360</v>
      </c>
      <c r="CQ13" s="352">
        <f t="shared" si="38"/>
        <v>126000</v>
      </c>
      <c r="CR13" s="353">
        <f>(HLOOKUP($AI13,'Inflation Adjustments'!$B$3:$BT$4,2,TRUE))*CG13</f>
        <v>7482.2633750661698</v>
      </c>
      <c r="CS13" s="353">
        <f>(HLOOKUP($AI13,'Inflation Adjustments'!$B$3:$BT$4,2,TRUE))*CH13</f>
        <v>24940.877916887232</v>
      </c>
      <c r="CT13" s="353">
        <f>(HLOOKUP($AI13,'Inflation Adjustments'!$B$3:$BT$4,2,TRUE))*CI13</f>
        <v>2494.087791688723</v>
      </c>
      <c r="CU13" s="353">
        <f>(HLOOKUP($AI13,'Inflation Adjustments'!$B$3:$BT$4,2,TRUE))*CJ13</f>
        <v>7482.2633750661698</v>
      </c>
      <c r="CV13" s="353">
        <f>(HLOOKUP($AI13,'Inflation Adjustments'!$B$3:$BT$4,2,TRUE))*CK13</f>
        <v>12470.438958443616</v>
      </c>
      <c r="CW13" s="353">
        <f>(HLOOKUP($AI13,'Inflation Adjustments'!$B$3:$BT$4,2,TRUE))*CL13</f>
        <v>4988.1755833774459</v>
      </c>
      <c r="CX13" s="353">
        <f>(HLOOKUP($AI13,'Inflation Adjustments'!$B$3:$BT$4,2,TRUE))*CM13</f>
        <v>3990.540466701957</v>
      </c>
      <c r="CY13" s="353">
        <f>(HLOOKUP($AI13,'Inflation Adjustments'!$B$3:$BT$4,2,TRUE))*CN13</f>
        <v>3990.540466701957</v>
      </c>
      <c r="CZ13" s="353">
        <f>(HLOOKUP($AI13,'Inflation Adjustments'!$B$3:$BT$4,2,TRUE))*CO13</f>
        <v>4988.1755833774459</v>
      </c>
      <c r="DA13" s="353">
        <f>(HLOOKUP($AI13,'Inflation Adjustments'!$B$3:$BT$4,2,TRUE))*CP13</f>
        <v>1995.2702333509785</v>
      </c>
      <c r="DB13" s="353">
        <f t="shared" si="39"/>
        <v>74822.633750661698</v>
      </c>
      <c r="DC13" s="354">
        <f t="shared" si="15"/>
        <v>16</v>
      </c>
      <c r="DD13" s="351">
        <f t="shared" si="16"/>
        <v>40</v>
      </c>
      <c r="DE13" s="351">
        <f t="shared" si="17"/>
        <v>40</v>
      </c>
      <c r="DF13" s="351">
        <f t="shared" si="18"/>
        <v>10</v>
      </c>
      <c r="DG13" s="351">
        <f t="shared" si="19"/>
        <v>20</v>
      </c>
      <c r="DH13" s="351">
        <f t="shared" si="20"/>
        <v>40</v>
      </c>
      <c r="DI13" s="351">
        <f t="shared" si="21"/>
        <v>20</v>
      </c>
      <c r="DJ13" s="351">
        <f t="shared" si="22"/>
        <v>10</v>
      </c>
      <c r="DK13" s="351">
        <f t="shared" si="23"/>
        <v>10</v>
      </c>
      <c r="DL13" s="351">
        <f t="shared" si="24"/>
        <v>20</v>
      </c>
      <c r="DM13" s="351">
        <f t="shared" si="25"/>
        <v>30</v>
      </c>
      <c r="DN13" s="355">
        <f t="shared" si="26"/>
        <v>187.05658437665426</v>
      </c>
      <c r="DO13" s="355">
        <f t="shared" si="27"/>
        <v>623.52194792218074</v>
      </c>
      <c r="DP13" s="355">
        <f t="shared" si="27"/>
        <v>249.40877916887229</v>
      </c>
      <c r="DQ13" s="355">
        <f t="shared" si="27"/>
        <v>374.11316875330851</v>
      </c>
      <c r="DR13" s="355">
        <f t="shared" si="27"/>
        <v>311.76097396109037</v>
      </c>
      <c r="DS13" s="355">
        <f t="shared" si="27"/>
        <v>249.40877916887229</v>
      </c>
      <c r="DT13" s="355">
        <f t="shared" si="27"/>
        <v>399.0540466701957</v>
      </c>
      <c r="DU13" s="355">
        <f t="shared" si="27"/>
        <v>399.0540466701957</v>
      </c>
      <c r="DV13" s="355">
        <f t="shared" si="27"/>
        <v>249.40877916887229</v>
      </c>
      <c r="DW13" s="355">
        <f t="shared" si="27"/>
        <v>66.509007778365955</v>
      </c>
      <c r="DX13" s="355">
        <f t="shared" si="40"/>
        <v>3109.2961136386079</v>
      </c>
      <c r="DY13" s="351">
        <f t="shared" si="28"/>
        <v>2992.9053500264681</v>
      </c>
      <c r="DZ13" s="351">
        <f t="shared" si="29"/>
        <v>9976.3511667548919</v>
      </c>
      <c r="EA13" s="351">
        <f t="shared" si="29"/>
        <v>2494.087791688723</v>
      </c>
      <c r="EB13" s="351">
        <f t="shared" si="29"/>
        <v>5985.8107000529362</v>
      </c>
      <c r="EC13" s="351">
        <f t="shared" si="29"/>
        <v>4988.1755833774459</v>
      </c>
      <c r="ED13" s="351">
        <f t="shared" si="29"/>
        <v>3990.5404667019566</v>
      </c>
      <c r="EE13" s="351">
        <f t="shared" si="29"/>
        <v>3990.540466701957</v>
      </c>
      <c r="EF13" s="351">
        <f t="shared" si="29"/>
        <v>3990.540466701957</v>
      </c>
      <c r="EG13" s="351">
        <f t="shared" si="29"/>
        <v>3990.5404667019566</v>
      </c>
      <c r="EH13" s="351">
        <f t="shared" si="29"/>
        <v>1064.1441244538553</v>
      </c>
      <c r="EI13" s="352">
        <f t="shared" si="41"/>
        <v>43463.636583162144</v>
      </c>
      <c r="EJ13" s="355">
        <f t="shared" si="30"/>
        <v>187.05658437665426</v>
      </c>
      <c r="EK13" s="355">
        <f t="shared" si="31"/>
        <v>623.52194792218074</v>
      </c>
      <c r="EL13" s="355">
        <f t="shared" si="31"/>
        <v>0</v>
      </c>
      <c r="EM13" s="355">
        <f t="shared" si="31"/>
        <v>374.11316875330851</v>
      </c>
      <c r="EN13" s="355">
        <f t="shared" si="31"/>
        <v>311.76097396109037</v>
      </c>
      <c r="EO13" s="355">
        <f t="shared" si="31"/>
        <v>249.40877916887229</v>
      </c>
      <c r="EP13" s="355">
        <f t="shared" si="31"/>
        <v>0</v>
      </c>
      <c r="EQ13" s="355">
        <f t="shared" si="31"/>
        <v>0</v>
      </c>
      <c r="ER13" s="355">
        <f t="shared" si="31"/>
        <v>249.40877916887229</v>
      </c>
      <c r="ES13" s="355">
        <f t="shared" si="31"/>
        <v>66.509007778365955</v>
      </c>
      <c r="ET13" s="353">
        <f t="shared" si="42"/>
        <v>2061.7792411293444</v>
      </c>
      <c r="EU13" s="356">
        <v>2016</v>
      </c>
      <c r="EV13" s="358">
        <v>60000</v>
      </c>
      <c r="EW13" s="356">
        <v>20</v>
      </c>
      <c r="EX13" s="356">
        <f>$C$1-1-EU13</f>
        <v>6</v>
      </c>
      <c r="EY13" s="351">
        <f>EV13/EW13</f>
        <v>3000</v>
      </c>
      <c r="EZ13" s="351">
        <f>IF(EX13*EY13&lt;EV13,EX13*EY13,EV13)</f>
        <v>18000</v>
      </c>
      <c r="FA13" s="351">
        <f>IF(EY13&lt;(EV13-EZ13),EY13,(E67-EZ13))</f>
        <v>3000</v>
      </c>
      <c r="FC13" s="583" t="s">
        <v>1596</v>
      </c>
      <c r="FD13" s="583"/>
      <c r="FE13" s="583"/>
      <c r="FF13" s="583"/>
      <c r="FG13" s="583"/>
    </row>
    <row r="14" spans="1:163" ht="35" customHeight="1" x14ac:dyDescent="0.3">
      <c r="A14" s="330" t="s">
        <v>1725</v>
      </c>
      <c r="B14" s="318" t="s">
        <v>1375</v>
      </c>
      <c r="C14" s="318" t="s">
        <v>72</v>
      </c>
      <c r="D14" s="318" t="s">
        <v>76</v>
      </c>
      <c r="E14" s="318" t="s">
        <v>8</v>
      </c>
      <c r="F14" s="318" t="s">
        <v>271</v>
      </c>
      <c r="G14" s="318" t="s">
        <v>723</v>
      </c>
      <c r="H14" s="318" t="s">
        <v>891</v>
      </c>
      <c r="I14" s="318" t="s">
        <v>892</v>
      </c>
      <c r="J14" s="318" t="s">
        <v>1045</v>
      </c>
      <c r="K14" s="318" t="s">
        <v>1047</v>
      </c>
      <c r="L14" s="318" t="s">
        <v>1055</v>
      </c>
      <c r="M14" s="318" t="s">
        <v>1060</v>
      </c>
      <c r="N14" s="318" t="s">
        <v>1067</v>
      </c>
      <c r="O14" s="318" t="s">
        <v>1072</v>
      </c>
      <c r="P14" s="318" t="s">
        <v>1079</v>
      </c>
      <c r="Q14" s="318" t="s">
        <v>1080</v>
      </c>
      <c r="R14" s="318" t="s">
        <v>1085</v>
      </c>
      <c r="S14" s="318" t="s">
        <v>1089</v>
      </c>
      <c r="T14" s="318" t="s">
        <v>102</v>
      </c>
      <c r="U14" s="318" t="s">
        <v>102</v>
      </c>
      <c r="V14" s="318" t="s">
        <v>102</v>
      </c>
      <c r="W14" s="318" t="s">
        <v>102</v>
      </c>
      <c r="X14" s="318" t="s">
        <v>102</v>
      </c>
      <c r="Y14" s="318" t="s">
        <v>102</v>
      </c>
      <c r="Z14" s="318" t="s">
        <v>104</v>
      </c>
      <c r="AA14" s="318" t="s">
        <v>102</v>
      </c>
      <c r="AB14" s="318" t="s">
        <v>102</v>
      </c>
      <c r="AC14" s="318" t="s">
        <v>104</v>
      </c>
      <c r="AD14" s="318" t="s">
        <v>1771</v>
      </c>
      <c r="AE14" s="318">
        <v>625</v>
      </c>
      <c r="AF14" s="318">
        <v>40</v>
      </c>
      <c r="AG14" s="318">
        <v>2011</v>
      </c>
      <c r="AH14" s="318" t="s">
        <v>982</v>
      </c>
      <c r="AI14" s="318">
        <f t="shared" si="49"/>
        <v>2011</v>
      </c>
      <c r="AJ14" s="318" t="str">
        <f t="shared" si="43"/>
        <v>Actual</v>
      </c>
      <c r="AK14" s="318"/>
      <c r="AL14" s="318"/>
      <c r="AM14" s="317">
        <f t="shared" si="32"/>
        <v>775564.21181631717</v>
      </c>
      <c r="AN14" s="318" t="s">
        <v>800</v>
      </c>
      <c r="AO14" s="511">
        <f t="shared" si="33"/>
        <v>326383.2724727001</v>
      </c>
      <c r="AP14" s="511">
        <f t="shared" si="34"/>
        <v>449180.93934361706</v>
      </c>
      <c r="AQ14" s="511">
        <f t="shared" si="35"/>
        <v>23641.102070716683</v>
      </c>
      <c r="AR14" s="511">
        <f t="shared" si="36"/>
        <v>425539.83727290039</v>
      </c>
      <c r="AS14" s="511">
        <f>HLOOKUP($C$1,'Inflation Adjustments'!$BI$3:$BT$4,2)*CQ14</f>
        <v>1418133.2812499998</v>
      </c>
      <c r="AT14" s="511">
        <f>IF(BU14="In Service",'Maintenace Cost Assumptions'!$B$3*AS14,0)</f>
        <v>7090.6664062499985</v>
      </c>
      <c r="AU14" s="318">
        <v>3</v>
      </c>
      <c r="AV14" s="318">
        <v>2</v>
      </c>
      <c r="AW14" s="318">
        <v>2</v>
      </c>
      <c r="AX14" s="318">
        <v>3</v>
      </c>
      <c r="AY14" s="318">
        <v>3</v>
      </c>
      <c r="AZ14" s="318">
        <v>4</v>
      </c>
      <c r="BA14" s="318">
        <v>3</v>
      </c>
      <c r="BB14" s="318"/>
      <c r="BC14" s="318"/>
      <c r="BD14" s="318"/>
      <c r="BE14" s="318">
        <v>3</v>
      </c>
      <c r="BF14" s="318"/>
      <c r="BG14" s="332">
        <f>(AU14*'Condition rating weights'!H$8+AV14*'Condition rating weights'!I$8+AW14*'Condition rating weights'!J$8+AX14*'Condition rating weights'!K$8+AY14*'Condition rating weights'!L$8+AZ14*'Condition rating weights'!M$8+BA14*'Condition rating weights'!N$8+BB14*'Condition rating weights'!O$8+BC14*'Condition rating weights'!P$8+BD14*'Condition rating weights'!Q$8+BE14*'Condition rating weights'!R$8+BF14*'Condition rating weights'!S$8)/100</f>
        <v>0.55000000000000004</v>
      </c>
      <c r="BH14" s="333">
        <v>2</v>
      </c>
      <c r="BI14" s="333">
        <v>111</v>
      </c>
      <c r="BJ14" s="333" t="s">
        <v>12</v>
      </c>
      <c r="BK14" s="333" t="s">
        <v>959</v>
      </c>
      <c r="BL14" s="333" t="s">
        <v>960</v>
      </c>
      <c r="BM14" s="333" t="s">
        <v>961</v>
      </c>
      <c r="BN14" s="333" t="s">
        <v>117</v>
      </c>
      <c r="BO14" s="333" t="s">
        <v>962</v>
      </c>
      <c r="BP14" s="333" t="s">
        <v>962</v>
      </c>
      <c r="BQ14" s="333" t="s">
        <v>963</v>
      </c>
      <c r="BR14" s="333" t="s">
        <v>964</v>
      </c>
      <c r="BS14" s="333" t="s">
        <v>964</v>
      </c>
      <c r="BT14" s="334" t="s">
        <v>965</v>
      </c>
      <c r="BU14" s="335" t="s">
        <v>1429</v>
      </c>
      <c r="BV14" s="282"/>
      <c r="BW14" s="282"/>
      <c r="BX14" s="311" t="str">
        <f>'GRC and TUL Assumptions'!A14</f>
        <v>Services Water</v>
      </c>
      <c r="BY14" s="350">
        <f>'GRC and TUL Assumptions'!C14</f>
        <v>20</v>
      </c>
      <c r="BZ14" s="350">
        <f>'GRC and TUL Assumptions'!D14</f>
        <v>40</v>
      </c>
      <c r="CA14" s="350">
        <f>'GRC and TUL Assumptions'!E14</f>
        <v>70</v>
      </c>
      <c r="CB14" s="350">
        <v>0</v>
      </c>
      <c r="CC14" s="350">
        <f>'GRC and TUL Assumptions'!F14</f>
        <v>20</v>
      </c>
      <c r="CD14" s="350">
        <f>'GRC and TUL Assumptions'!G14</f>
        <v>30</v>
      </c>
      <c r="CE14" s="350">
        <f>'GRC and TUL Assumptions'!H14</f>
        <v>40</v>
      </c>
      <c r="CF14" s="350">
        <f t="shared" si="37"/>
        <v>20</v>
      </c>
      <c r="CG14" s="351">
        <f t="shared" si="5"/>
        <v>93750</v>
      </c>
      <c r="CH14" s="351">
        <f t="shared" si="6"/>
        <v>312500</v>
      </c>
      <c r="CI14" s="351">
        <f t="shared" si="7"/>
        <v>31250</v>
      </c>
      <c r="CJ14" s="351">
        <f t="shared" si="8"/>
        <v>93750</v>
      </c>
      <c r="CK14" s="351">
        <f t="shared" si="9"/>
        <v>156250</v>
      </c>
      <c r="CL14" s="351">
        <f t="shared" si="10"/>
        <v>62500</v>
      </c>
      <c r="CM14" s="351">
        <f t="shared" si="11"/>
        <v>62500</v>
      </c>
      <c r="CN14" s="351">
        <f t="shared" si="12"/>
        <v>50000</v>
      </c>
      <c r="CO14" s="351">
        <f t="shared" si="13"/>
        <v>62500</v>
      </c>
      <c r="CP14" s="351">
        <f t="shared" si="14"/>
        <v>25000</v>
      </c>
      <c r="CQ14" s="352">
        <f t="shared" si="38"/>
        <v>950000</v>
      </c>
      <c r="CR14" s="353">
        <f>(HLOOKUP($AI14,'Inflation Adjustments'!$B$3:$BT$4,2,TRUE))*CG14</f>
        <v>76535.941955557602</v>
      </c>
      <c r="CS14" s="353">
        <f>(HLOOKUP($AI14,'Inflation Adjustments'!$B$3:$BT$4,2,TRUE))*CH14</f>
        <v>255119.80651852535</v>
      </c>
      <c r="CT14" s="353">
        <f>(HLOOKUP($AI14,'Inflation Adjustments'!$B$3:$BT$4,2,TRUE))*CI14</f>
        <v>25511.980651852533</v>
      </c>
      <c r="CU14" s="353">
        <f>(HLOOKUP($AI14,'Inflation Adjustments'!$B$3:$BT$4,2,TRUE))*CJ14</f>
        <v>76535.941955557602</v>
      </c>
      <c r="CV14" s="353">
        <f>(HLOOKUP($AI14,'Inflation Adjustments'!$B$3:$BT$4,2,TRUE))*CK14</f>
        <v>127559.90325926268</v>
      </c>
      <c r="CW14" s="353">
        <f>(HLOOKUP($AI14,'Inflation Adjustments'!$B$3:$BT$4,2,TRUE))*CL14</f>
        <v>51023.961303705066</v>
      </c>
      <c r="CX14" s="353">
        <f>(HLOOKUP($AI14,'Inflation Adjustments'!$B$3:$BT$4,2,TRUE))*CM14</f>
        <v>51023.961303705066</v>
      </c>
      <c r="CY14" s="353">
        <f>(HLOOKUP($AI14,'Inflation Adjustments'!$B$3:$BT$4,2,TRUE))*CN14</f>
        <v>40819.169042964051</v>
      </c>
      <c r="CZ14" s="353">
        <f>(HLOOKUP($AI14,'Inflation Adjustments'!$B$3:$BT$4,2,TRUE))*CO14</f>
        <v>51023.961303705066</v>
      </c>
      <c r="DA14" s="353">
        <f>(HLOOKUP($AI14,'Inflation Adjustments'!$B$3:$BT$4,2,TRUE))*CP14</f>
        <v>20409.584521482026</v>
      </c>
      <c r="DB14" s="353">
        <f t="shared" si="39"/>
        <v>775564.21181631717</v>
      </c>
      <c r="DC14" s="354">
        <f t="shared" si="15"/>
        <v>11</v>
      </c>
      <c r="DD14" s="351">
        <f t="shared" si="16"/>
        <v>40</v>
      </c>
      <c r="DE14" s="351">
        <f t="shared" si="17"/>
        <v>40</v>
      </c>
      <c r="DF14" s="351">
        <f t="shared" si="18"/>
        <v>10</v>
      </c>
      <c r="DG14" s="351">
        <f t="shared" si="19"/>
        <v>20</v>
      </c>
      <c r="DH14" s="351">
        <f t="shared" si="20"/>
        <v>40</v>
      </c>
      <c r="DI14" s="351">
        <f t="shared" si="21"/>
        <v>20</v>
      </c>
      <c r="DJ14" s="351">
        <f t="shared" si="22"/>
        <v>20</v>
      </c>
      <c r="DK14" s="351">
        <f t="shared" si="23"/>
        <v>10</v>
      </c>
      <c r="DL14" s="351">
        <f t="shared" si="24"/>
        <v>20</v>
      </c>
      <c r="DM14" s="351">
        <f t="shared" si="25"/>
        <v>30</v>
      </c>
      <c r="DN14" s="355">
        <f t="shared" si="26"/>
        <v>1913.39854888894</v>
      </c>
      <c r="DO14" s="355">
        <f t="shared" si="27"/>
        <v>6377.9951629631341</v>
      </c>
      <c r="DP14" s="355">
        <f t="shared" si="27"/>
        <v>2551.1980651852532</v>
      </c>
      <c r="DQ14" s="355">
        <f t="shared" si="27"/>
        <v>3826.79709777788</v>
      </c>
      <c r="DR14" s="355">
        <f t="shared" si="27"/>
        <v>3188.9975814815671</v>
      </c>
      <c r="DS14" s="355">
        <f t="shared" si="27"/>
        <v>2551.1980651852532</v>
      </c>
      <c r="DT14" s="355">
        <f t="shared" si="27"/>
        <v>2551.1980651852532</v>
      </c>
      <c r="DU14" s="355">
        <f t="shared" si="27"/>
        <v>4081.9169042964049</v>
      </c>
      <c r="DV14" s="355">
        <f t="shared" si="27"/>
        <v>2551.1980651852532</v>
      </c>
      <c r="DW14" s="355">
        <f t="shared" si="27"/>
        <v>680.3194840494009</v>
      </c>
      <c r="DX14" s="355">
        <f t="shared" si="40"/>
        <v>30274.217040198342</v>
      </c>
      <c r="DY14" s="351">
        <f t="shared" si="28"/>
        <v>21047.384037778342</v>
      </c>
      <c r="DZ14" s="351">
        <f t="shared" si="29"/>
        <v>70157.946792594477</v>
      </c>
      <c r="EA14" s="351">
        <f t="shared" si="29"/>
        <v>25511.980651852533</v>
      </c>
      <c r="EB14" s="351">
        <f t="shared" si="29"/>
        <v>42094.768075556683</v>
      </c>
      <c r="EC14" s="351">
        <f t="shared" si="29"/>
        <v>35078.973396297239</v>
      </c>
      <c r="ED14" s="351">
        <f t="shared" si="29"/>
        <v>28063.178717037787</v>
      </c>
      <c r="EE14" s="351">
        <f t="shared" si="29"/>
        <v>28063.178717037787</v>
      </c>
      <c r="EF14" s="351">
        <f t="shared" si="29"/>
        <v>40819.169042964051</v>
      </c>
      <c r="EG14" s="351">
        <f t="shared" si="29"/>
        <v>28063.178717037787</v>
      </c>
      <c r="EH14" s="351">
        <f t="shared" si="29"/>
        <v>7483.5143245434101</v>
      </c>
      <c r="EI14" s="352">
        <f t="shared" si="41"/>
        <v>326383.2724727001</v>
      </c>
      <c r="EJ14" s="355">
        <f t="shared" si="30"/>
        <v>1913.39854888894</v>
      </c>
      <c r="EK14" s="355">
        <f t="shared" si="31"/>
        <v>6377.9951629631341</v>
      </c>
      <c r="EL14" s="355">
        <f t="shared" si="31"/>
        <v>0</v>
      </c>
      <c r="EM14" s="355">
        <f t="shared" si="31"/>
        <v>3826.79709777788</v>
      </c>
      <c r="EN14" s="355">
        <f t="shared" si="31"/>
        <v>3188.9975814815671</v>
      </c>
      <c r="EO14" s="355">
        <f t="shared" si="31"/>
        <v>2551.1980651852532</v>
      </c>
      <c r="EP14" s="355">
        <f t="shared" si="31"/>
        <v>2551.1980651852532</v>
      </c>
      <c r="EQ14" s="355">
        <f t="shared" si="31"/>
        <v>0</v>
      </c>
      <c r="ER14" s="355">
        <f t="shared" si="31"/>
        <v>2551.1980651852532</v>
      </c>
      <c r="ES14" s="355">
        <f t="shared" si="31"/>
        <v>680.3194840494009</v>
      </c>
      <c r="ET14" s="353">
        <f t="shared" si="42"/>
        <v>23641.102070716683</v>
      </c>
      <c r="EU14" s="358"/>
      <c r="EV14" s="358"/>
      <c r="EW14" s="358"/>
      <c r="EX14" s="358"/>
      <c r="EY14" s="358"/>
      <c r="EZ14" s="358"/>
      <c r="FA14" s="358"/>
      <c r="FC14" s="630" t="s">
        <v>1598</v>
      </c>
      <c r="FD14" s="630"/>
      <c r="FE14" s="630"/>
      <c r="FF14" s="630"/>
      <c r="FG14" s="630"/>
    </row>
    <row r="15" spans="1:163" ht="35" customHeight="1" x14ac:dyDescent="0.3">
      <c r="A15" s="330" t="s">
        <v>1726</v>
      </c>
      <c r="B15" s="318" t="s">
        <v>1376</v>
      </c>
      <c r="C15" s="318" t="s">
        <v>72</v>
      </c>
      <c r="D15" s="318" t="s">
        <v>76</v>
      </c>
      <c r="E15" s="318" t="s">
        <v>8</v>
      </c>
      <c r="F15" s="318" t="s">
        <v>281</v>
      </c>
      <c r="G15" s="318" t="s">
        <v>723</v>
      </c>
      <c r="H15" s="318" t="s">
        <v>893</v>
      </c>
      <c r="I15" s="318" t="s">
        <v>894</v>
      </c>
      <c r="J15" s="318" t="s">
        <v>286</v>
      </c>
      <c r="K15" s="318" t="s">
        <v>1047</v>
      </c>
      <c r="L15" s="318" t="s">
        <v>1055</v>
      </c>
      <c r="M15" s="318"/>
      <c r="N15" s="318"/>
      <c r="O15" s="318"/>
      <c r="P15" s="318" t="s">
        <v>117</v>
      </c>
      <c r="Q15" s="318" t="s">
        <v>1080</v>
      </c>
      <c r="R15" s="318" t="s">
        <v>1086</v>
      </c>
      <c r="S15" s="318" t="s">
        <v>1089</v>
      </c>
      <c r="T15" s="318" t="s">
        <v>102</v>
      </c>
      <c r="U15" s="318" t="s">
        <v>102</v>
      </c>
      <c r="V15" s="318" t="s">
        <v>102</v>
      </c>
      <c r="W15" s="318" t="s">
        <v>117</v>
      </c>
      <c r="X15" s="318" t="s">
        <v>117</v>
      </c>
      <c r="Y15" s="318" t="s">
        <v>117</v>
      </c>
      <c r="Z15" s="318" t="s">
        <v>117</v>
      </c>
      <c r="AA15" s="318" t="s">
        <v>102</v>
      </c>
      <c r="AB15" s="318" t="s">
        <v>117</v>
      </c>
      <c r="AC15" s="318" t="s">
        <v>117</v>
      </c>
      <c r="AD15" s="318" t="s">
        <v>1771</v>
      </c>
      <c r="AE15" s="318">
        <v>302</v>
      </c>
      <c r="AF15" s="318">
        <v>40</v>
      </c>
      <c r="AG15" s="318">
        <v>2011</v>
      </c>
      <c r="AH15" s="318" t="s">
        <v>982</v>
      </c>
      <c r="AI15" s="318">
        <f t="shared" si="49"/>
        <v>2011</v>
      </c>
      <c r="AJ15" s="318" t="str">
        <f t="shared" si="43"/>
        <v>Actual</v>
      </c>
      <c r="AK15" s="318"/>
      <c r="AL15" s="318"/>
      <c r="AM15" s="317">
        <f t="shared" si="32"/>
        <v>204634.65824618738</v>
      </c>
      <c r="AN15" s="318" t="s">
        <v>800</v>
      </c>
      <c r="AO15" s="511">
        <f t="shared" si="33"/>
        <v>88449.016440746665</v>
      </c>
      <c r="AP15" s="511">
        <f t="shared" si="34"/>
        <v>116185.64180544071</v>
      </c>
      <c r="AQ15" s="511">
        <f t="shared" si="35"/>
        <v>4006.4014415669221</v>
      </c>
      <c r="AR15" s="511">
        <f t="shared" si="36"/>
        <v>112179.24036387379</v>
      </c>
      <c r="AS15" s="511">
        <f>HLOOKUP($C$1,'Inflation Adjustments'!$BI$3:$BT$4,2)*CQ15</f>
        <v>374178.19818749995</v>
      </c>
      <c r="AT15" s="511">
        <f>IF(BU15="In Service",'Maintenace Cost Assumptions'!$B$3*AS15,0)</f>
        <v>1870.8909909374997</v>
      </c>
      <c r="AU15" s="318">
        <v>3</v>
      </c>
      <c r="AV15" s="318">
        <v>3</v>
      </c>
      <c r="AW15" s="318">
        <v>3</v>
      </c>
      <c r="AX15" s="318">
        <v>3</v>
      </c>
      <c r="AY15" s="318">
        <v>3</v>
      </c>
      <c r="AZ15" s="318">
        <v>3</v>
      </c>
      <c r="BA15" s="318">
        <v>3</v>
      </c>
      <c r="BB15" s="318"/>
      <c r="BC15" s="318"/>
      <c r="BD15" s="318"/>
      <c r="BE15" s="318">
        <v>3</v>
      </c>
      <c r="BF15" s="318"/>
      <c r="BG15" s="332">
        <f>(AU15*'Condition rating weights'!H$8+AV15*'Condition rating weights'!I$8+AW15*'Condition rating weights'!J$8+AX15*'Condition rating weights'!K$8+AY15*'Condition rating weights'!L$8+AZ15*'Condition rating weights'!M$8+BA15*'Condition rating weights'!N$8+BB15*'Condition rating weights'!O$8+BC15*'Condition rating weights'!P$8+BD15*'Condition rating weights'!Q$8+BE15*'Condition rating weights'!R$8+BF15*'Condition rating weights'!S$8)/100</f>
        <v>0.6</v>
      </c>
      <c r="BH15" s="333">
        <v>1</v>
      </c>
      <c r="BI15" s="333">
        <v>512</v>
      </c>
      <c r="BJ15" s="333" t="s">
        <v>12</v>
      </c>
      <c r="BK15" s="333" t="s">
        <v>959</v>
      </c>
      <c r="BL15" s="333" t="s">
        <v>1036</v>
      </c>
      <c r="BM15" s="333" t="s">
        <v>961</v>
      </c>
      <c r="BN15" s="333" t="s">
        <v>117</v>
      </c>
      <c r="BO15" s="333" t="s">
        <v>962</v>
      </c>
      <c r="BP15" s="333" t="s">
        <v>962</v>
      </c>
      <c r="BQ15" s="333" t="s">
        <v>978</v>
      </c>
      <c r="BR15" s="333" t="s">
        <v>964</v>
      </c>
      <c r="BS15" s="333" t="s">
        <v>964</v>
      </c>
      <c r="BT15" s="334" t="s">
        <v>965</v>
      </c>
      <c r="BU15" s="335" t="s">
        <v>1429</v>
      </c>
      <c r="BV15" s="282"/>
      <c r="BW15" s="282"/>
      <c r="BX15" s="282" t="s">
        <v>1400</v>
      </c>
      <c r="BY15" s="282">
        <v>1</v>
      </c>
      <c r="BZ15" s="282"/>
      <c r="CA15" s="282"/>
      <c r="CB15" s="282"/>
      <c r="CC15" s="359"/>
      <c r="CD15" s="282"/>
      <c r="CE15" s="282"/>
      <c r="CF15" s="282"/>
      <c r="CG15" s="351">
        <f t="shared" si="5"/>
        <v>45300</v>
      </c>
      <c r="CH15" s="351">
        <f t="shared" si="6"/>
        <v>151000</v>
      </c>
      <c r="CI15" s="351">
        <f t="shared" si="7"/>
        <v>30200</v>
      </c>
      <c r="CJ15" s="351">
        <f t="shared" si="8"/>
        <v>0</v>
      </c>
      <c r="CK15" s="351">
        <f t="shared" si="9"/>
        <v>0</v>
      </c>
      <c r="CL15" s="351">
        <f t="shared" si="10"/>
        <v>0</v>
      </c>
      <c r="CM15" s="351">
        <f t="shared" si="11"/>
        <v>0</v>
      </c>
      <c r="CN15" s="351">
        <f t="shared" si="12"/>
        <v>24160</v>
      </c>
      <c r="CO15" s="351">
        <f t="shared" si="13"/>
        <v>0</v>
      </c>
      <c r="CP15" s="351">
        <f t="shared" si="14"/>
        <v>0</v>
      </c>
      <c r="CQ15" s="352">
        <f t="shared" si="38"/>
        <v>250660</v>
      </c>
      <c r="CR15" s="353">
        <f>(HLOOKUP($AI15,'Inflation Adjustments'!$B$3:$BT$4,2,TRUE))*CG15</f>
        <v>36982.167152925431</v>
      </c>
      <c r="CS15" s="353">
        <f>(HLOOKUP($AI15,'Inflation Adjustments'!$B$3:$BT$4,2,TRUE))*CH15</f>
        <v>123273.89050975145</v>
      </c>
      <c r="CT15" s="353">
        <f>(HLOOKUP($AI15,'Inflation Adjustments'!$B$3:$BT$4,2,TRUE))*CI15</f>
        <v>24654.778101950287</v>
      </c>
      <c r="CU15" s="353">
        <f>(HLOOKUP($AI15,'Inflation Adjustments'!$B$3:$BT$4,2,TRUE))*CJ15</f>
        <v>0</v>
      </c>
      <c r="CV15" s="353">
        <f>(HLOOKUP($AI15,'Inflation Adjustments'!$B$3:$BT$4,2,TRUE))*CK15</f>
        <v>0</v>
      </c>
      <c r="CW15" s="353">
        <f>(HLOOKUP($AI15,'Inflation Adjustments'!$B$3:$BT$4,2,TRUE))*CL15</f>
        <v>0</v>
      </c>
      <c r="CX15" s="353">
        <f>(HLOOKUP($AI15,'Inflation Adjustments'!$B$3:$BT$4,2,TRUE))*CM15</f>
        <v>0</v>
      </c>
      <c r="CY15" s="353">
        <f>(HLOOKUP($AI15,'Inflation Adjustments'!$B$3:$BT$4,2,TRUE))*CN15</f>
        <v>19723.82248156023</v>
      </c>
      <c r="CZ15" s="353">
        <f>(HLOOKUP($AI15,'Inflation Adjustments'!$B$3:$BT$4,2,TRUE))*CO15</f>
        <v>0</v>
      </c>
      <c r="DA15" s="353">
        <f>(HLOOKUP($AI15,'Inflation Adjustments'!$B$3:$BT$4,2,TRUE))*CP15</f>
        <v>0</v>
      </c>
      <c r="DB15" s="353">
        <f t="shared" si="39"/>
        <v>204634.65824618738</v>
      </c>
      <c r="DC15" s="354">
        <f t="shared" si="15"/>
        <v>11</v>
      </c>
      <c r="DD15" s="351">
        <f t="shared" si="16"/>
        <v>40</v>
      </c>
      <c r="DE15" s="351">
        <f t="shared" si="17"/>
        <v>40</v>
      </c>
      <c r="DF15" s="351">
        <f t="shared" si="18"/>
        <v>10</v>
      </c>
      <c r="DG15" s="351">
        <f t="shared" si="19"/>
        <v>20</v>
      </c>
      <c r="DH15" s="351">
        <f t="shared" si="20"/>
        <v>40</v>
      </c>
      <c r="DI15" s="351">
        <f t="shared" si="21"/>
        <v>20</v>
      </c>
      <c r="DJ15" s="351">
        <f t="shared" si="22"/>
        <v>10</v>
      </c>
      <c r="DK15" s="351">
        <f t="shared" si="23"/>
        <v>10</v>
      </c>
      <c r="DL15" s="351">
        <f t="shared" si="24"/>
        <v>20</v>
      </c>
      <c r="DM15" s="351">
        <f t="shared" si="25"/>
        <v>20</v>
      </c>
      <c r="DN15" s="355">
        <f t="shared" si="26"/>
        <v>924.55417882313577</v>
      </c>
      <c r="DO15" s="355">
        <f t="shared" si="27"/>
        <v>3081.8472627437864</v>
      </c>
      <c r="DP15" s="355">
        <f t="shared" si="27"/>
        <v>2465.4778101950287</v>
      </c>
      <c r="DQ15" s="355">
        <f t="shared" si="27"/>
        <v>0</v>
      </c>
      <c r="DR15" s="355">
        <f t="shared" si="27"/>
        <v>0</v>
      </c>
      <c r="DS15" s="355">
        <f t="shared" si="27"/>
        <v>0</v>
      </c>
      <c r="DT15" s="355">
        <f t="shared" si="27"/>
        <v>0</v>
      </c>
      <c r="DU15" s="355">
        <f t="shared" si="27"/>
        <v>1972.382248156023</v>
      </c>
      <c r="DV15" s="355">
        <f t="shared" si="27"/>
        <v>0</v>
      </c>
      <c r="DW15" s="355">
        <f t="shared" si="27"/>
        <v>0</v>
      </c>
      <c r="DX15" s="355">
        <f t="shared" si="40"/>
        <v>8444.261499917975</v>
      </c>
      <c r="DY15" s="351">
        <f t="shared" si="28"/>
        <v>10170.095967054494</v>
      </c>
      <c r="DZ15" s="351">
        <f t="shared" si="29"/>
        <v>33900.31989018165</v>
      </c>
      <c r="EA15" s="351">
        <f t="shared" si="29"/>
        <v>24654.778101950287</v>
      </c>
      <c r="EB15" s="351">
        <f t="shared" si="29"/>
        <v>0</v>
      </c>
      <c r="EC15" s="351">
        <f t="shared" si="29"/>
        <v>0</v>
      </c>
      <c r="ED15" s="351">
        <f t="shared" si="29"/>
        <v>0</v>
      </c>
      <c r="EE15" s="351">
        <f t="shared" si="29"/>
        <v>0</v>
      </c>
      <c r="EF15" s="351">
        <f t="shared" si="29"/>
        <v>19723.82248156023</v>
      </c>
      <c r="EG15" s="351">
        <f t="shared" si="29"/>
        <v>0</v>
      </c>
      <c r="EH15" s="351">
        <f t="shared" si="29"/>
        <v>0</v>
      </c>
      <c r="EI15" s="352">
        <f t="shared" si="41"/>
        <v>88449.016440746665</v>
      </c>
      <c r="EJ15" s="355">
        <f t="shared" si="30"/>
        <v>924.55417882313577</v>
      </c>
      <c r="EK15" s="355">
        <f t="shared" si="31"/>
        <v>3081.8472627437864</v>
      </c>
      <c r="EL15" s="355">
        <f t="shared" si="31"/>
        <v>0</v>
      </c>
      <c r="EM15" s="355">
        <f t="shared" si="31"/>
        <v>0</v>
      </c>
      <c r="EN15" s="355">
        <f t="shared" si="31"/>
        <v>0</v>
      </c>
      <c r="EO15" s="355">
        <f t="shared" si="31"/>
        <v>0</v>
      </c>
      <c r="EP15" s="355">
        <f t="shared" si="31"/>
        <v>0</v>
      </c>
      <c r="EQ15" s="355">
        <f t="shared" si="31"/>
        <v>0</v>
      </c>
      <c r="ER15" s="355">
        <f t="shared" si="31"/>
        <v>0</v>
      </c>
      <c r="ES15" s="355">
        <f t="shared" si="31"/>
        <v>0</v>
      </c>
      <c r="ET15" s="353">
        <f t="shared" si="42"/>
        <v>4006.4014415669221</v>
      </c>
      <c r="EU15" s="358"/>
      <c r="EV15" s="358"/>
      <c r="EW15" s="358"/>
      <c r="EX15" s="358"/>
      <c r="EY15" s="358"/>
      <c r="EZ15" s="358"/>
      <c r="FA15" s="358"/>
    </row>
    <row r="16" spans="1:163" ht="35" customHeight="1" x14ac:dyDescent="0.3">
      <c r="A16" s="330" t="s">
        <v>1727</v>
      </c>
      <c r="B16" s="318" t="s">
        <v>1601</v>
      </c>
      <c r="C16" s="318" t="s">
        <v>72</v>
      </c>
      <c r="D16" s="318" t="s">
        <v>321</v>
      </c>
      <c r="E16" s="318" t="s">
        <v>8</v>
      </c>
      <c r="F16" s="318" t="s">
        <v>278</v>
      </c>
      <c r="G16" s="318" t="s">
        <v>724</v>
      </c>
      <c r="H16" s="318" t="s">
        <v>895</v>
      </c>
      <c r="I16" s="318" t="s">
        <v>896</v>
      </c>
      <c r="J16" s="318" t="s">
        <v>1044</v>
      </c>
      <c r="K16" s="318" t="s">
        <v>1050</v>
      </c>
      <c r="L16" s="318" t="s">
        <v>1055</v>
      </c>
      <c r="M16" s="318" t="s">
        <v>1062</v>
      </c>
      <c r="N16" s="318" t="s">
        <v>1069</v>
      </c>
      <c r="O16" s="318" t="s">
        <v>1072</v>
      </c>
      <c r="P16" s="318" t="s">
        <v>1079</v>
      </c>
      <c r="Q16" s="318" t="s">
        <v>1080</v>
      </c>
      <c r="R16" s="318" t="s">
        <v>1086</v>
      </c>
      <c r="S16" s="318" t="s">
        <v>1089</v>
      </c>
      <c r="T16" s="318" t="s">
        <v>102</v>
      </c>
      <c r="U16" s="318" t="s">
        <v>102</v>
      </c>
      <c r="V16" s="318" t="s">
        <v>102</v>
      </c>
      <c r="W16" s="318" t="s">
        <v>102</v>
      </c>
      <c r="X16" s="318" t="s">
        <v>102</v>
      </c>
      <c r="Y16" s="318" t="s">
        <v>102</v>
      </c>
      <c r="Z16" s="318" t="s">
        <v>102</v>
      </c>
      <c r="AA16" s="318" t="s">
        <v>102</v>
      </c>
      <c r="AB16" s="318" t="s">
        <v>102</v>
      </c>
      <c r="AC16" s="318" t="s">
        <v>104</v>
      </c>
      <c r="AD16" s="318" t="s">
        <v>1771</v>
      </c>
      <c r="AE16" s="318">
        <v>72</v>
      </c>
      <c r="AF16" s="318">
        <v>40</v>
      </c>
      <c r="AG16" s="318">
        <v>2002</v>
      </c>
      <c r="AH16" s="318" t="s">
        <v>982</v>
      </c>
      <c r="AI16" s="318">
        <f t="shared" si="49"/>
        <v>2002</v>
      </c>
      <c r="AJ16" s="318" t="str">
        <f t="shared" si="43"/>
        <v>Actual</v>
      </c>
      <c r="AK16" s="318"/>
      <c r="AL16" s="318"/>
      <c r="AM16" s="317">
        <f t="shared" si="32"/>
        <v>54535.41665005713</v>
      </c>
      <c r="AN16" s="318" t="s">
        <v>800</v>
      </c>
      <c r="AO16" s="511">
        <f t="shared" si="33"/>
        <v>38233.431887997038</v>
      </c>
      <c r="AP16" s="511">
        <f t="shared" si="34"/>
        <v>16301.984762060092</v>
      </c>
      <c r="AQ16" s="511">
        <f t="shared" si="35"/>
        <v>838.55533128582465</v>
      </c>
      <c r="AR16" s="511">
        <f t="shared" si="36"/>
        <v>15463.429430774268</v>
      </c>
      <c r="AS16" s="511">
        <f>HLOOKUP($C$1,'Inflation Adjustments'!$BI$3:$BT$4,2)*CQ16</f>
        <v>166593.34125</v>
      </c>
      <c r="AT16" s="511">
        <f>IF(BU16="In Service",'Maintenace Cost Assumptions'!$B$3*AS16,0)</f>
        <v>832.96670625000002</v>
      </c>
      <c r="AU16" s="318">
        <v>3</v>
      </c>
      <c r="AV16" s="318">
        <v>3</v>
      </c>
      <c r="AW16" s="318">
        <v>2</v>
      </c>
      <c r="AX16" s="318">
        <v>2</v>
      </c>
      <c r="AY16" s="318">
        <v>3</v>
      </c>
      <c r="AZ16" s="318">
        <v>2</v>
      </c>
      <c r="BA16" s="318">
        <v>2</v>
      </c>
      <c r="BB16" s="318"/>
      <c r="BC16" s="318"/>
      <c r="BD16" s="318"/>
      <c r="BE16" s="318">
        <v>3</v>
      </c>
      <c r="BF16" s="318"/>
      <c r="BG16" s="332">
        <f>(AU16*'Condition rating weights'!H$8+AV16*'Condition rating weights'!I$8+AW16*'Condition rating weights'!J$8+AX16*'Condition rating weights'!K$8+AY16*'Condition rating weights'!L$8+AZ16*'Condition rating weights'!M$8+BA16*'Condition rating weights'!N$8+BB16*'Condition rating weights'!O$8+BC16*'Condition rating weights'!P$8+BD16*'Condition rating weights'!Q$8+BE16*'Condition rating weights'!R$8+BF16*'Condition rating weights'!S$8)/100</f>
        <v>0.55000000000000004</v>
      </c>
      <c r="BH16" s="333">
        <v>1</v>
      </c>
      <c r="BI16" s="333">
        <v>411</v>
      </c>
      <c r="BJ16" s="333" t="s">
        <v>12</v>
      </c>
      <c r="BK16" s="333" t="s">
        <v>959</v>
      </c>
      <c r="BL16" s="333" t="s">
        <v>960</v>
      </c>
      <c r="BM16" s="333" t="s">
        <v>1015</v>
      </c>
      <c r="BN16" s="333" t="s">
        <v>117</v>
      </c>
      <c r="BO16" s="333" t="s">
        <v>962</v>
      </c>
      <c r="BP16" s="333" t="s">
        <v>962</v>
      </c>
      <c r="BQ16" s="333" t="s">
        <v>963</v>
      </c>
      <c r="BR16" s="333" t="s">
        <v>964</v>
      </c>
      <c r="BS16" s="333" t="s">
        <v>964</v>
      </c>
      <c r="BT16" s="334" t="s">
        <v>965</v>
      </c>
      <c r="BU16" s="335" t="s">
        <v>1429</v>
      </c>
      <c r="BV16" s="282"/>
      <c r="BW16" s="282"/>
      <c r="BX16" s="282"/>
      <c r="BY16" s="282">
        <v>2</v>
      </c>
      <c r="BZ16" s="282"/>
      <c r="CA16" s="282"/>
      <c r="CB16" s="282"/>
      <c r="CC16" s="282"/>
      <c r="CD16" s="282"/>
      <c r="CE16" s="282"/>
      <c r="CF16" s="282"/>
      <c r="CG16" s="351">
        <f t="shared" si="5"/>
        <v>10800</v>
      </c>
      <c r="CH16" s="351">
        <f t="shared" si="6"/>
        <v>36000</v>
      </c>
      <c r="CI16" s="351">
        <f t="shared" si="7"/>
        <v>7200</v>
      </c>
      <c r="CJ16" s="351">
        <f t="shared" si="8"/>
        <v>10800</v>
      </c>
      <c r="CK16" s="351">
        <f t="shared" si="9"/>
        <v>18000</v>
      </c>
      <c r="CL16" s="351">
        <f t="shared" si="10"/>
        <v>7200</v>
      </c>
      <c r="CM16" s="351">
        <f t="shared" si="11"/>
        <v>5760</v>
      </c>
      <c r="CN16" s="351">
        <f t="shared" si="12"/>
        <v>5760</v>
      </c>
      <c r="CO16" s="351">
        <f t="shared" si="13"/>
        <v>7200</v>
      </c>
      <c r="CP16" s="351">
        <f t="shared" si="14"/>
        <v>2880</v>
      </c>
      <c r="CQ16" s="352">
        <f t="shared" si="38"/>
        <v>111600</v>
      </c>
      <c r="CR16" s="353">
        <f>(HLOOKUP($AI16,'Inflation Adjustments'!$B$3:$BT$4,2,TRUE))*CG16</f>
        <v>5277.6209661345601</v>
      </c>
      <c r="CS16" s="353">
        <f>(HLOOKUP($AI16,'Inflation Adjustments'!$B$3:$BT$4,2,TRUE))*CH16</f>
        <v>17592.069887115202</v>
      </c>
      <c r="CT16" s="353">
        <f>(HLOOKUP($AI16,'Inflation Adjustments'!$B$3:$BT$4,2,TRUE))*CI16</f>
        <v>3518.4139774230403</v>
      </c>
      <c r="CU16" s="353">
        <f>(HLOOKUP($AI16,'Inflation Adjustments'!$B$3:$BT$4,2,TRUE))*CJ16</f>
        <v>5277.6209661345601</v>
      </c>
      <c r="CV16" s="353">
        <f>(HLOOKUP($AI16,'Inflation Adjustments'!$B$3:$BT$4,2,TRUE))*CK16</f>
        <v>8796.0349435576009</v>
      </c>
      <c r="CW16" s="353">
        <f>(HLOOKUP($AI16,'Inflation Adjustments'!$B$3:$BT$4,2,TRUE))*CL16</f>
        <v>3518.4139774230403</v>
      </c>
      <c r="CX16" s="353">
        <f>(HLOOKUP($AI16,'Inflation Adjustments'!$B$3:$BT$4,2,TRUE))*CM16</f>
        <v>2814.7311819384322</v>
      </c>
      <c r="CY16" s="353">
        <f>(HLOOKUP($AI16,'Inflation Adjustments'!$B$3:$BT$4,2,TRUE))*CN16</f>
        <v>2814.7311819384322</v>
      </c>
      <c r="CZ16" s="353">
        <f>(HLOOKUP($AI16,'Inflation Adjustments'!$B$3:$BT$4,2,TRUE))*CO16</f>
        <v>3518.4139774230403</v>
      </c>
      <c r="DA16" s="353">
        <f>(HLOOKUP($AI16,'Inflation Adjustments'!$B$3:$BT$4,2,TRUE))*CP16</f>
        <v>1407.3655909692161</v>
      </c>
      <c r="DB16" s="353">
        <f t="shared" si="39"/>
        <v>54535.41665005713</v>
      </c>
      <c r="DC16" s="354">
        <f>IF(($C$1-AI16-1)&gt;0,$C$1-AI16-1,0)</f>
        <v>20</v>
      </c>
      <c r="DD16" s="351">
        <f t="shared" si="16"/>
        <v>40</v>
      </c>
      <c r="DE16" s="351">
        <f t="shared" si="17"/>
        <v>40</v>
      </c>
      <c r="DF16" s="351">
        <f t="shared" si="18"/>
        <v>10</v>
      </c>
      <c r="DG16" s="351">
        <f t="shared" si="19"/>
        <v>20</v>
      </c>
      <c r="DH16" s="351">
        <f t="shared" si="20"/>
        <v>40</v>
      </c>
      <c r="DI16" s="351">
        <f t="shared" si="21"/>
        <v>20</v>
      </c>
      <c r="DJ16" s="351">
        <f t="shared" si="22"/>
        <v>10</v>
      </c>
      <c r="DK16" s="351">
        <f t="shared" si="23"/>
        <v>10</v>
      </c>
      <c r="DL16" s="351">
        <f t="shared" si="24"/>
        <v>20</v>
      </c>
      <c r="DM16" s="351">
        <f t="shared" si="25"/>
        <v>30</v>
      </c>
      <c r="DN16" s="355">
        <f t="shared" si="26"/>
        <v>131.94052415336401</v>
      </c>
      <c r="DO16" s="355">
        <f t="shared" si="27"/>
        <v>439.80174717788003</v>
      </c>
      <c r="DP16" s="355">
        <f t="shared" si="27"/>
        <v>351.84139774230403</v>
      </c>
      <c r="DQ16" s="355">
        <f t="shared" si="27"/>
        <v>263.88104830672802</v>
      </c>
      <c r="DR16" s="355">
        <f t="shared" si="27"/>
        <v>219.90087358894002</v>
      </c>
      <c r="DS16" s="355">
        <f t="shared" si="27"/>
        <v>175.92069887115201</v>
      </c>
      <c r="DT16" s="355">
        <f t="shared" si="27"/>
        <v>281.47311819384322</v>
      </c>
      <c r="DU16" s="355">
        <f t="shared" si="27"/>
        <v>281.47311819384322</v>
      </c>
      <c r="DV16" s="355">
        <f t="shared" si="27"/>
        <v>175.92069887115201</v>
      </c>
      <c r="DW16" s="355">
        <f t="shared" si="27"/>
        <v>46.912186365640537</v>
      </c>
      <c r="DX16" s="355">
        <f t="shared" si="40"/>
        <v>2369.0654114648473</v>
      </c>
      <c r="DY16" s="351">
        <f t="shared" si="28"/>
        <v>2638.8104830672801</v>
      </c>
      <c r="DZ16" s="351">
        <f t="shared" si="29"/>
        <v>8796.0349435576009</v>
      </c>
      <c r="EA16" s="351">
        <f t="shared" si="29"/>
        <v>3518.4139774230403</v>
      </c>
      <c r="EB16" s="351">
        <f t="shared" si="29"/>
        <v>5277.6209661345601</v>
      </c>
      <c r="EC16" s="351">
        <f t="shared" si="29"/>
        <v>4398.0174717788004</v>
      </c>
      <c r="ED16" s="351">
        <f t="shared" si="29"/>
        <v>3518.4139774230403</v>
      </c>
      <c r="EE16" s="351">
        <f t="shared" si="29"/>
        <v>2814.7311819384322</v>
      </c>
      <c r="EF16" s="351">
        <f t="shared" si="29"/>
        <v>2814.7311819384322</v>
      </c>
      <c r="EG16" s="351">
        <f t="shared" si="29"/>
        <v>3518.4139774230403</v>
      </c>
      <c r="EH16" s="351">
        <f t="shared" si="29"/>
        <v>938.24372731281073</v>
      </c>
      <c r="EI16" s="352">
        <f t="shared" si="41"/>
        <v>38233.431887997038</v>
      </c>
      <c r="EJ16" s="355">
        <f t="shared" si="30"/>
        <v>131.94052415336401</v>
      </c>
      <c r="EK16" s="355">
        <f t="shared" si="31"/>
        <v>439.80174717788003</v>
      </c>
      <c r="EL16" s="355">
        <f t="shared" si="31"/>
        <v>0</v>
      </c>
      <c r="EM16" s="355">
        <f t="shared" si="31"/>
        <v>0</v>
      </c>
      <c r="EN16" s="355">
        <f t="shared" si="31"/>
        <v>219.90087358894002</v>
      </c>
      <c r="EO16" s="355">
        <f t="shared" si="31"/>
        <v>0</v>
      </c>
      <c r="EP16" s="355">
        <f t="shared" si="31"/>
        <v>0</v>
      </c>
      <c r="EQ16" s="355">
        <f t="shared" si="31"/>
        <v>0</v>
      </c>
      <c r="ER16" s="355">
        <f t="shared" si="31"/>
        <v>0</v>
      </c>
      <c r="ES16" s="355">
        <f t="shared" si="31"/>
        <v>46.912186365640537</v>
      </c>
      <c r="ET16" s="353">
        <f t="shared" si="42"/>
        <v>838.55533128582465</v>
      </c>
      <c r="EU16" s="358"/>
      <c r="EV16" s="358"/>
      <c r="EW16" s="358"/>
      <c r="EX16" s="358"/>
      <c r="EY16" s="358"/>
      <c r="EZ16" s="358"/>
      <c r="FA16" s="358"/>
      <c r="FC16" s="630" t="s">
        <v>1600</v>
      </c>
      <c r="FD16" s="630"/>
      <c r="FE16" s="630"/>
      <c r="FF16" s="630"/>
      <c r="FG16" s="630"/>
    </row>
    <row r="17" spans="1:165" ht="35" customHeight="1" x14ac:dyDescent="0.3">
      <c r="A17" s="330" t="s">
        <v>1728</v>
      </c>
      <c r="B17" s="318" t="s">
        <v>1603</v>
      </c>
      <c r="C17" s="318" t="s">
        <v>72</v>
      </c>
      <c r="D17" s="318" t="s">
        <v>321</v>
      </c>
      <c r="E17" s="318" t="s">
        <v>8</v>
      </c>
      <c r="F17" s="318" t="s">
        <v>946</v>
      </c>
      <c r="G17" s="318" t="s">
        <v>724</v>
      </c>
      <c r="H17" s="318" t="s">
        <v>895</v>
      </c>
      <c r="I17" s="318" t="s">
        <v>896</v>
      </c>
      <c r="J17" s="318" t="s">
        <v>1043</v>
      </c>
      <c r="K17" s="318" t="s">
        <v>1048</v>
      </c>
      <c r="L17" s="318" t="s">
        <v>1055</v>
      </c>
      <c r="M17" s="318" t="s">
        <v>1062</v>
      </c>
      <c r="N17" s="318" t="s">
        <v>1069</v>
      </c>
      <c r="O17" s="318" t="s">
        <v>1072</v>
      </c>
      <c r="P17" s="318" t="s">
        <v>1079</v>
      </c>
      <c r="Q17" s="318" t="s">
        <v>1080</v>
      </c>
      <c r="R17" s="318" t="s">
        <v>1086</v>
      </c>
      <c r="S17" s="318" t="s">
        <v>1089</v>
      </c>
      <c r="T17" s="318" t="s">
        <v>104</v>
      </c>
      <c r="U17" s="318" t="s">
        <v>104</v>
      </c>
      <c r="V17" s="318" t="s">
        <v>102</v>
      </c>
      <c r="W17" s="318" t="s">
        <v>102</v>
      </c>
      <c r="X17" s="318" t="s">
        <v>102</v>
      </c>
      <c r="Y17" s="318" t="s">
        <v>102</v>
      </c>
      <c r="Z17" s="318" t="s">
        <v>102</v>
      </c>
      <c r="AA17" s="318" t="s">
        <v>102</v>
      </c>
      <c r="AB17" s="318" t="s">
        <v>102</v>
      </c>
      <c r="AC17" s="318" t="s">
        <v>104</v>
      </c>
      <c r="AD17" s="318" t="s">
        <v>1771</v>
      </c>
      <c r="AE17" s="318">
        <v>290</v>
      </c>
      <c r="AF17" s="318">
        <v>60</v>
      </c>
      <c r="AG17" s="318">
        <v>1972</v>
      </c>
      <c r="AH17" s="318" t="s">
        <v>982</v>
      </c>
      <c r="AI17" s="318">
        <f t="shared" si="49"/>
        <v>1972</v>
      </c>
      <c r="AJ17" s="318" t="s">
        <v>800</v>
      </c>
      <c r="AK17" s="318">
        <v>2005</v>
      </c>
      <c r="AL17" s="318" t="s">
        <v>985</v>
      </c>
      <c r="AM17" s="317">
        <f t="shared" si="32"/>
        <v>166777.87746635417</v>
      </c>
      <c r="AN17" s="318" t="s">
        <v>800</v>
      </c>
      <c r="AO17" s="511">
        <f>EI17+EZ17</f>
        <v>147165.78295176168</v>
      </c>
      <c r="AP17" s="511">
        <f t="shared" si="34"/>
        <v>19612.094514592492</v>
      </c>
      <c r="AQ17" s="511">
        <f t="shared" si="35"/>
        <v>4761.2094514592472</v>
      </c>
      <c r="AR17" s="511">
        <f t="shared" si="36"/>
        <v>14850.885063133246</v>
      </c>
      <c r="AS17" s="511">
        <f>HLOOKUP($C$1,'Inflation Adjustments'!$BI$3:$BT$4,2)*CQ17</f>
        <v>822517.30312499998</v>
      </c>
      <c r="AT17" s="511">
        <f>IF(BU17="In Service",'Maintenace Cost Assumptions'!$B$3*AS17,0)</f>
        <v>4112.5865156250002</v>
      </c>
      <c r="AU17" s="318">
        <v>3</v>
      </c>
      <c r="AV17" s="318">
        <v>2</v>
      </c>
      <c r="AW17" s="318">
        <v>2</v>
      </c>
      <c r="AX17" s="318">
        <v>2</v>
      </c>
      <c r="AY17" s="318">
        <v>2</v>
      </c>
      <c r="AZ17" s="318">
        <v>2</v>
      </c>
      <c r="BA17" s="318">
        <v>2</v>
      </c>
      <c r="BB17" s="318"/>
      <c r="BC17" s="318"/>
      <c r="BD17" s="318"/>
      <c r="BE17" s="318">
        <v>1</v>
      </c>
      <c r="BF17" s="318"/>
      <c r="BG17" s="332">
        <f>(AU17*'Condition rating weights'!H$8+AV17*'Condition rating weights'!I$8+AW17*'Condition rating weights'!J$8+AX17*'Condition rating weights'!K$8+AY17*'Condition rating weights'!L$8+AZ17*'Condition rating weights'!M$8+BA17*'Condition rating weights'!N$8+BB17*'Condition rating weights'!O$8+BC17*'Condition rating weights'!P$8+BD17*'Condition rating weights'!Q$8+BE17*'Condition rating weights'!R$8+BF17*'Condition rating weights'!S$8)/100</f>
        <v>0.37</v>
      </c>
      <c r="BH17" s="333">
        <v>1</v>
      </c>
      <c r="BI17" s="333">
        <v>122</v>
      </c>
      <c r="BJ17" s="333" t="s">
        <v>12</v>
      </c>
      <c r="BK17" s="333" t="s">
        <v>959</v>
      </c>
      <c r="BL17" s="333" t="s">
        <v>960</v>
      </c>
      <c r="BM17" s="333" t="s">
        <v>961</v>
      </c>
      <c r="BN17" s="333" t="s">
        <v>117</v>
      </c>
      <c r="BO17" s="333" t="s">
        <v>962</v>
      </c>
      <c r="BP17" s="333" t="s">
        <v>962</v>
      </c>
      <c r="BQ17" s="333" t="s">
        <v>963</v>
      </c>
      <c r="BR17" s="333" t="s">
        <v>964</v>
      </c>
      <c r="BS17" s="333" t="s">
        <v>964</v>
      </c>
      <c r="BT17" s="334" t="s">
        <v>965</v>
      </c>
      <c r="BU17" s="335" t="s">
        <v>1429</v>
      </c>
      <c r="BV17" s="282"/>
      <c r="BW17" s="282"/>
      <c r="BX17" s="282"/>
      <c r="BY17" s="282">
        <v>3</v>
      </c>
      <c r="BZ17" s="282"/>
      <c r="CA17" s="282"/>
      <c r="CB17" s="282"/>
      <c r="CC17" s="282"/>
      <c r="CD17" s="282"/>
      <c r="CE17" s="282"/>
      <c r="CF17" s="282"/>
      <c r="CG17" s="351">
        <f t="shared" si="5"/>
        <v>58000</v>
      </c>
      <c r="CH17" s="351">
        <f t="shared" si="6"/>
        <v>232000</v>
      </c>
      <c r="CI17" s="351">
        <f t="shared" si="7"/>
        <v>29000</v>
      </c>
      <c r="CJ17" s="351">
        <f t="shared" si="8"/>
        <v>43500</v>
      </c>
      <c r="CK17" s="351">
        <f t="shared" si="9"/>
        <v>72500</v>
      </c>
      <c r="CL17" s="351">
        <f t="shared" si="10"/>
        <v>29000</v>
      </c>
      <c r="CM17" s="351">
        <f t="shared" si="11"/>
        <v>23200</v>
      </c>
      <c r="CN17" s="351">
        <f t="shared" si="12"/>
        <v>23200</v>
      </c>
      <c r="CO17" s="351">
        <f t="shared" si="13"/>
        <v>29000</v>
      </c>
      <c r="CP17" s="351">
        <f t="shared" si="14"/>
        <v>11600</v>
      </c>
      <c r="CQ17" s="352">
        <f t="shared" si="38"/>
        <v>551000</v>
      </c>
      <c r="CR17" s="353">
        <f>(HLOOKUP($AI17,'Inflation Adjustments'!$B$3:$BT$4,2,TRUE))*CG17</f>
        <v>9134.5134175109652</v>
      </c>
      <c r="CS17" s="353">
        <f>(HLOOKUP($AI17,'Inflation Adjustments'!$B$3:$BT$4,2,TRUE))*CH17</f>
        <v>36538.053670043861</v>
      </c>
      <c r="CT17" s="353">
        <f>(HLOOKUP($AI17,'Inflation Adjustments'!$B$3:$BT$4,2,TRUE))*CI17</f>
        <v>4567.2567087554826</v>
      </c>
      <c r="CU17" s="353">
        <f>(HLOOKUP($AI17,'Inflation Adjustments'!$B$3:$BT$4,2,TRUE))*CJ17</f>
        <v>6850.8850631332234</v>
      </c>
      <c r="CV17" s="353">
        <f>(HLOOKUP($AI17,'Inflation Adjustments'!$B$3:$BT$4,2,TRUE))*CK17</f>
        <v>11418.141771888706</v>
      </c>
      <c r="CW17" s="353">
        <f>(HLOOKUP($AI17,'Inflation Adjustments'!$B$3:$BT$4,2,TRUE))*CL17</f>
        <v>4567.2567087554826</v>
      </c>
      <c r="CX17" s="353">
        <f>(HLOOKUP($AI17,'Inflation Adjustments'!$B$3:$BT$4,2,TRUE))*CM17</f>
        <v>3653.805367004386</v>
      </c>
      <c r="CY17" s="353">
        <f>(HLOOKUP($AI17,'Inflation Adjustments'!$B$3:$BT$4,2,TRUE))*CN17</f>
        <v>3653.805367004386</v>
      </c>
      <c r="CZ17" s="353">
        <f>(HLOOKUP($AI17,'Inflation Adjustments'!$B$3:$BT$4,2,TRUE))*CO17</f>
        <v>4567.2567087554826</v>
      </c>
      <c r="DA17" s="353">
        <f>(HLOOKUP($AI17,'Inflation Adjustments'!$B$3:$BT$4,2,TRUE))*CP17</f>
        <v>1826.902683502193</v>
      </c>
      <c r="DB17" s="353">
        <f t="shared" si="39"/>
        <v>86777.87746635417</v>
      </c>
      <c r="DC17" s="354">
        <f>$C$1-AI17-1</f>
        <v>50</v>
      </c>
      <c r="DD17" s="351">
        <f t="shared" si="16"/>
        <v>60</v>
      </c>
      <c r="DE17" s="351">
        <f t="shared" si="17"/>
        <v>60</v>
      </c>
      <c r="DF17" s="351">
        <f t="shared" si="18"/>
        <v>10</v>
      </c>
      <c r="DG17" s="351">
        <f t="shared" si="19"/>
        <v>20</v>
      </c>
      <c r="DH17" s="351">
        <f t="shared" si="20"/>
        <v>40</v>
      </c>
      <c r="DI17" s="351">
        <f t="shared" si="21"/>
        <v>20</v>
      </c>
      <c r="DJ17" s="351">
        <f t="shared" si="22"/>
        <v>10</v>
      </c>
      <c r="DK17" s="351">
        <f t="shared" si="23"/>
        <v>10</v>
      </c>
      <c r="DL17" s="351">
        <f t="shared" si="24"/>
        <v>20</v>
      </c>
      <c r="DM17" s="351">
        <f t="shared" si="25"/>
        <v>30</v>
      </c>
      <c r="DN17" s="355">
        <f t="shared" si="26"/>
        <v>152.24189029184942</v>
      </c>
      <c r="DO17" s="355">
        <f t="shared" si="27"/>
        <v>608.96756116739766</v>
      </c>
      <c r="DP17" s="355">
        <f t="shared" si="27"/>
        <v>456.72567087554825</v>
      </c>
      <c r="DQ17" s="355">
        <f t="shared" si="27"/>
        <v>342.54425315666117</v>
      </c>
      <c r="DR17" s="355">
        <f t="shared" si="27"/>
        <v>285.45354429721766</v>
      </c>
      <c r="DS17" s="355">
        <f t="shared" si="27"/>
        <v>228.36283543777412</v>
      </c>
      <c r="DT17" s="355">
        <f t="shared" si="27"/>
        <v>365.3805367004386</v>
      </c>
      <c r="DU17" s="355">
        <f t="shared" si="27"/>
        <v>365.3805367004386</v>
      </c>
      <c r="DV17" s="355">
        <f t="shared" si="27"/>
        <v>228.36283543777412</v>
      </c>
      <c r="DW17" s="355">
        <f t="shared" si="27"/>
        <v>60.896756116739766</v>
      </c>
      <c r="DX17" s="355">
        <f t="shared" si="40"/>
        <v>3094.3164201818395</v>
      </c>
      <c r="DY17" s="351">
        <f t="shared" si="28"/>
        <v>7612.0945145924707</v>
      </c>
      <c r="DZ17" s="351">
        <f t="shared" si="29"/>
        <v>30448.378058369883</v>
      </c>
      <c r="EA17" s="351">
        <f t="shared" si="29"/>
        <v>4567.2567087554826</v>
      </c>
      <c r="EB17" s="351">
        <f t="shared" si="29"/>
        <v>6850.8850631332234</v>
      </c>
      <c r="EC17" s="351">
        <f t="shared" si="29"/>
        <v>11418.141771888706</v>
      </c>
      <c r="ED17" s="351">
        <f t="shared" si="29"/>
        <v>4567.2567087554826</v>
      </c>
      <c r="EE17" s="351">
        <f t="shared" si="29"/>
        <v>3653.805367004386</v>
      </c>
      <c r="EF17" s="351">
        <f t="shared" si="29"/>
        <v>3653.805367004386</v>
      </c>
      <c r="EG17" s="351">
        <f t="shared" si="29"/>
        <v>4567.2567087554826</v>
      </c>
      <c r="EH17" s="351">
        <f t="shared" si="29"/>
        <v>1826.902683502193</v>
      </c>
      <c r="EI17" s="352">
        <f t="shared" si="41"/>
        <v>79165.782951761692</v>
      </c>
      <c r="EJ17" s="355">
        <f t="shared" si="30"/>
        <v>152.24189029184942</v>
      </c>
      <c r="EK17" s="355">
        <f t="shared" si="31"/>
        <v>608.96756116739766</v>
      </c>
      <c r="EL17" s="355">
        <f t="shared" si="31"/>
        <v>0</v>
      </c>
      <c r="EM17" s="355">
        <f t="shared" si="31"/>
        <v>0</v>
      </c>
      <c r="EN17" s="355">
        <f t="shared" si="31"/>
        <v>0</v>
      </c>
      <c r="EO17" s="355">
        <f t="shared" si="31"/>
        <v>0</v>
      </c>
      <c r="EP17" s="355">
        <f t="shared" si="31"/>
        <v>0</v>
      </c>
      <c r="EQ17" s="355">
        <f t="shared" si="31"/>
        <v>0</v>
      </c>
      <c r="ER17" s="355">
        <f t="shared" si="31"/>
        <v>0</v>
      </c>
      <c r="ES17" s="355">
        <f t="shared" si="31"/>
        <v>0</v>
      </c>
      <c r="ET17" s="353">
        <f t="shared" si="42"/>
        <v>761.20945145924702</v>
      </c>
      <c r="EU17" s="356">
        <v>2005</v>
      </c>
      <c r="EV17" s="351">
        <v>80000</v>
      </c>
      <c r="EW17" s="356">
        <v>20</v>
      </c>
      <c r="EX17" s="356">
        <f>$C$1-1-EU17</f>
        <v>17</v>
      </c>
      <c r="EY17" s="351">
        <f>EV17/EW17</f>
        <v>4000</v>
      </c>
      <c r="EZ17" s="351">
        <f>IF(EX17*EY17&lt;EV17,EX17*EY17,EV17)</f>
        <v>68000</v>
      </c>
      <c r="FA17" s="351">
        <f t="shared" ref="FA17:FA24" si="50">IF(EY17&lt;(EV17-EZ17),EY17,(E71-EZ17))</f>
        <v>4000</v>
      </c>
      <c r="FC17" s="630" t="s">
        <v>1602</v>
      </c>
      <c r="FD17" s="630"/>
      <c r="FE17" s="630"/>
      <c r="FF17" s="630"/>
      <c r="FG17" s="630"/>
      <c r="FH17" s="630"/>
      <c r="FI17" s="630"/>
    </row>
    <row r="18" spans="1:165" ht="35" customHeight="1" x14ac:dyDescent="0.3">
      <c r="A18" s="330" t="s">
        <v>1729</v>
      </c>
      <c r="B18" s="318" t="s">
        <v>1037</v>
      </c>
      <c r="C18" s="318" t="s">
        <v>72</v>
      </c>
      <c r="D18" s="318" t="s">
        <v>321</v>
      </c>
      <c r="E18" s="318" t="s">
        <v>8</v>
      </c>
      <c r="F18" s="318" t="s">
        <v>271</v>
      </c>
      <c r="G18" s="318" t="s">
        <v>724</v>
      </c>
      <c r="H18" s="318" t="s">
        <v>895</v>
      </c>
      <c r="I18" s="318" t="s">
        <v>896</v>
      </c>
      <c r="J18" s="318" t="s">
        <v>1045</v>
      </c>
      <c r="K18" s="318" t="s">
        <v>1047</v>
      </c>
      <c r="L18" s="318" t="s">
        <v>1055</v>
      </c>
      <c r="M18" s="318" t="s">
        <v>1061</v>
      </c>
      <c r="N18" s="318" t="s">
        <v>1069</v>
      </c>
      <c r="O18" s="318" t="s">
        <v>1072</v>
      </c>
      <c r="P18" s="318" t="s">
        <v>1079</v>
      </c>
      <c r="Q18" s="318" t="s">
        <v>1080</v>
      </c>
      <c r="R18" s="318" t="s">
        <v>1086</v>
      </c>
      <c r="S18" s="318" t="s">
        <v>1089</v>
      </c>
      <c r="T18" s="318" t="s">
        <v>102</v>
      </c>
      <c r="U18" s="318" t="s">
        <v>102</v>
      </c>
      <c r="V18" s="318" t="s">
        <v>102</v>
      </c>
      <c r="W18" s="318" t="s">
        <v>102</v>
      </c>
      <c r="X18" s="318" t="s">
        <v>102</v>
      </c>
      <c r="Y18" s="318" t="s">
        <v>102</v>
      </c>
      <c r="Z18" s="318" t="s">
        <v>102</v>
      </c>
      <c r="AA18" s="318" t="s">
        <v>102</v>
      </c>
      <c r="AB18" s="318" t="s">
        <v>102</v>
      </c>
      <c r="AC18" s="318" t="s">
        <v>104</v>
      </c>
      <c r="AD18" s="318" t="s">
        <v>1771</v>
      </c>
      <c r="AE18" s="318">
        <v>180</v>
      </c>
      <c r="AF18" s="318">
        <v>40</v>
      </c>
      <c r="AG18" s="318">
        <v>1995</v>
      </c>
      <c r="AH18" s="318" t="s">
        <v>982</v>
      </c>
      <c r="AI18" s="318">
        <f t="shared" si="49"/>
        <v>1995</v>
      </c>
      <c r="AJ18" s="318" t="s">
        <v>800</v>
      </c>
      <c r="AK18" s="318">
        <v>2005</v>
      </c>
      <c r="AL18" s="318" t="s">
        <v>985</v>
      </c>
      <c r="AM18" s="317">
        <f t="shared" si="32"/>
        <v>158299.99376947878</v>
      </c>
      <c r="AN18" s="318" t="s">
        <v>800</v>
      </c>
      <c r="AO18" s="511">
        <f t="shared" si="33"/>
        <v>130083.25302583333</v>
      </c>
      <c r="AP18" s="511">
        <f t="shared" si="34"/>
        <v>28216.740743645452</v>
      </c>
      <c r="AQ18" s="511">
        <f t="shared" si="35"/>
        <v>4165.2579687134912</v>
      </c>
      <c r="AR18" s="511">
        <f t="shared" si="36"/>
        <v>24051.482774931959</v>
      </c>
      <c r="AS18" s="511">
        <f>HLOOKUP($C$1,'Inflation Adjustments'!$BI$3:$BT$4,2)*CQ18</f>
        <v>416483.35312499997</v>
      </c>
      <c r="AT18" s="511">
        <f>IF(BU18="In Service",'Maintenace Cost Assumptions'!$B$3*AS18,0)</f>
        <v>2082.4167656249997</v>
      </c>
      <c r="AU18" s="318">
        <v>3</v>
      </c>
      <c r="AV18" s="318">
        <v>3</v>
      </c>
      <c r="AW18" s="318">
        <v>2</v>
      </c>
      <c r="AX18" s="318">
        <v>2</v>
      </c>
      <c r="AY18" s="318">
        <v>3</v>
      </c>
      <c r="AZ18" s="318">
        <v>3</v>
      </c>
      <c r="BA18" s="318">
        <v>2</v>
      </c>
      <c r="BB18" s="318"/>
      <c r="BC18" s="318"/>
      <c r="BD18" s="318"/>
      <c r="BE18" s="318">
        <v>2</v>
      </c>
      <c r="BF18" s="318"/>
      <c r="BG18" s="332">
        <f>(AU18*'Condition rating weights'!H$8+AV18*'Condition rating weights'!I$8+AW18*'Condition rating weights'!J$8+AX18*'Condition rating weights'!K$8+AY18*'Condition rating weights'!L$8+AZ18*'Condition rating weights'!M$8+BA18*'Condition rating weights'!N$8+BB18*'Condition rating weights'!O$8+BC18*'Condition rating weights'!P$8+BD18*'Condition rating weights'!Q$8+BE18*'Condition rating weights'!R$8+BF18*'Condition rating weights'!S$8)/100</f>
        <v>0.5</v>
      </c>
      <c r="BH18" s="333">
        <v>1</v>
      </c>
      <c r="BI18" s="333">
        <v>221</v>
      </c>
      <c r="BJ18" s="333" t="s">
        <v>12</v>
      </c>
      <c r="BK18" s="333" t="s">
        <v>959</v>
      </c>
      <c r="BL18" s="333" t="s">
        <v>960</v>
      </c>
      <c r="BM18" s="333" t="s">
        <v>961</v>
      </c>
      <c r="BN18" s="333" t="s">
        <v>117</v>
      </c>
      <c r="BO18" s="333" t="s">
        <v>962</v>
      </c>
      <c r="BP18" s="333" t="s">
        <v>962</v>
      </c>
      <c r="BQ18" s="333" t="s">
        <v>963</v>
      </c>
      <c r="BR18" s="333" t="s">
        <v>964</v>
      </c>
      <c r="BS18" s="333" t="s">
        <v>964</v>
      </c>
      <c r="BT18" s="334" t="s">
        <v>965</v>
      </c>
      <c r="BU18" s="335" t="s">
        <v>1429</v>
      </c>
      <c r="BV18" s="282"/>
      <c r="BW18" s="282"/>
      <c r="BX18" s="282"/>
      <c r="BY18" s="282"/>
      <c r="BZ18" s="282"/>
      <c r="CA18" s="282"/>
      <c r="CB18" s="282"/>
      <c r="CC18" s="282"/>
      <c r="CD18" s="282"/>
      <c r="CE18" s="282"/>
      <c r="CF18" s="282"/>
      <c r="CG18" s="351">
        <f t="shared" si="5"/>
        <v>27000</v>
      </c>
      <c r="CH18" s="351">
        <f t="shared" si="6"/>
        <v>90000</v>
      </c>
      <c r="CI18" s="351">
        <f t="shared" si="7"/>
        <v>18000</v>
      </c>
      <c r="CJ18" s="351">
        <f t="shared" si="8"/>
        <v>27000</v>
      </c>
      <c r="CK18" s="351">
        <f t="shared" si="9"/>
        <v>45000</v>
      </c>
      <c r="CL18" s="351">
        <f t="shared" si="10"/>
        <v>18000</v>
      </c>
      <c r="CM18" s="351">
        <f t="shared" si="11"/>
        <v>14400</v>
      </c>
      <c r="CN18" s="351">
        <f t="shared" si="12"/>
        <v>14400</v>
      </c>
      <c r="CO18" s="351">
        <f t="shared" si="13"/>
        <v>18000</v>
      </c>
      <c r="CP18" s="351">
        <f t="shared" si="14"/>
        <v>7200</v>
      </c>
      <c r="CQ18" s="352">
        <f t="shared" si="38"/>
        <v>279000</v>
      </c>
      <c r="CR18" s="353">
        <f>(HLOOKUP($AI18,'Inflation Adjustments'!$B$3:$BT$4,2,TRUE))*CG18</f>
        <v>10480.644558336655</v>
      </c>
      <c r="CS18" s="353">
        <f>(HLOOKUP($AI18,'Inflation Adjustments'!$B$3:$BT$4,2,TRUE))*CH18</f>
        <v>34935.481861122185</v>
      </c>
      <c r="CT18" s="353">
        <f>(HLOOKUP($AI18,'Inflation Adjustments'!$B$3:$BT$4,2,TRUE))*CI18</f>
        <v>6987.0963722244369</v>
      </c>
      <c r="CU18" s="353">
        <f>(HLOOKUP($AI18,'Inflation Adjustments'!$B$3:$BT$4,2,TRUE))*CJ18</f>
        <v>10480.644558336655</v>
      </c>
      <c r="CV18" s="353">
        <f>(HLOOKUP($AI18,'Inflation Adjustments'!$B$3:$BT$4,2,TRUE))*CK18</f>
        <v>17467.740930561093</v>
      </c>
      <c r="CW18" s="353">
        <f>(HLOOKUP($AI18,'Inflation Adjustments'!$B$3:$BT$4,2,TRUE))*CL18</f>
        <v>6987.0963722244369</v>
      </c>
      <c r="CX18" s="353">
        <f>(HLOOKUP($AI18,'Inflation Adjustments'!$B$3:$BT$4,2,TRUE))*CM18</f>
        <v>5589.6770977795495</v>
      </c>
      <c r="CY18" s="353">
        <f>(HLOOKUP($AI18,'Inflation Adjustments'!$B$3:$BT$4,2,TRUE))*CN18</f>
        <v>5589.6770977795495</v>
      </c>
      <c r="CZ18" s="353">
        <f>(HLOOKUP($AI18,'Inflation Adjustments'!$B$3:$BT$4,2,TRUE))*CO18</f>
        <v>6987.0963722244369</v>
      </c>
      <c r="DA18" s="353">
        <f>(HLOOKUP($AI18,'Inflation Adjustments'!$B$3:$BT$4,2,TRUE))*CP18</f>
        <v>2794.8385488897748</v>
      </c>
      <c r="DB18" s="353">
        <f t="shared" si="39"/>
        <v>108299.99376947878</v>
      </c>
      <c r="DC18" s="354">
        <f>IF(($C$1-AI18-1)&gt;0,$C$1-AI18-1,0)</f>
        <v>27</v>
      </c>
      <c r="DD18" s="351">
        <f t="shared" si="16"/>
        <v>40</v>
      </c>
      <c r="DE18" s="351">
        <f t="shared" si="17"/>
        <v>40</v>
      </c>
      <c r="DF18" s="351">
        <f t="shared" si="18"/>
        <v>10</v>
      </c>
      <c r="DG18" s="351">
        <f t="shared" si="19"/>
        <v>20</v>
      </c>
      <c r="DH18" s="351">
        <f t="shared" si="20"/>
        <v>40</v>
      </c>
      <c r="DI18" s="351">
        <f t="shared" si="21"/>
        <v>20</v>
      </c>
      <c r="DJ18" s="351">
        <f t="shared" si="22"/>
        <v>10</v>
      </c>
      <c r="DK18" s="351">
        <f t="shared" si="23"/>
        <v>10</v>
      </c>
      <c r="DL18" s="351">
        <f t="shared" si="24"/>
        <v>20</v>
      </c>
      <c r="DM18" s="351">
        <f t="shared" si="25"/>
        <v>30</v>
      </c>
      <c r="DN18" s="355">
        <f t="shared" si="26"/>
        <v>262.01611395841638</v>
      </c>
      <c r="DO18" s="355">
        <f t="shared" si="27"/>
        <v>873.38704652805461</v>
      </c>
      <c r="DP18" s="355">
        <f t="shared" si="27"/>
        <v>698.70963722244369</v>
      </c>
      <c r="DQ18" s="355">
        <f t="shared" si="27"/>
        <v>524.03222791683277</v>
      </c>
      <c r="DR18" s="355">
        <f t="shared" si="27"/>
        <v>436.69352326402731</v>
      </c>
      <c r="DS18" s="355">
        <f t="shared" si="27"/>
        <v>349.35481861122184</v>
      </c>
      <c r="DT18" s="355">
        <f t="shared" si="27"/>
        <v>558.96770977795495</v>
      </c>
      <c r="DU18" s="355">
        <f t="shared" si="27"/>
        <v>558.96770977795495</v>
      </c>
      <c r="DV18" s="355">
        <f t="shared" si="27"/>
        <v>349.35481861122184</v>
      </c>
      <c r="DW18" s="355">
        <f t="shared" si="27"/>
        <v>93.161284962992497</v>
      </c>
      <c r="DX18" s="355">
        <f t="shared" si="40"/>
        <v>4704.6448906311216</v>
      </c>
      <c r="DY18" s="351">
        <f t="shared" si="28"/>
        <v>7074.435076877242</v>
      </c>
      <c r="DZ18" s="351">
        <f t="shared" si="29"/>
        <v>23581.450256257474</v>
      </c>
      <c r="EA18" s="351">
        <f t="shared" si="29"/>
        <v>6987.0963722244369</v>
      </c>
      <c r="EB18" s="351">
        <f t="shared" si="29"/>
        <v>10480.644558336655</v>
      </c>
      <c r="EC18" s="351">
        <f t="shared" si="29"/>
        <v>11790.725128128737</v>
      </c>
      <c r="ED18" s="351">
        <f t="shared" si="29"/>
        <v>6987.0963722244369</v>
      </c>
      <c r="EE18" s="351">
        <f t="shared" si="29"/>
        <v>5589.6770977795495</v>
      </c>
      <c r="EF18" s="351">
        <f t="shared" si="29"/>
        <v>5589.6770977795495</v>
      </c>
      <c r="EG18" s="351">
        <f t="shared" si="29"/>
        <v>6987.0963722244369</v>
      </c>
      <c r="EH18" s="351">
        <f t="shared" si="29"/>
        <v>2515.3546940007973</v>
      </c>
      <c r="EI18" s="352">
        <f t="shared" si="41"/>
        <v>87583.253025833328</v>
      </c>
      <c r="EJ18" s="355">
        <f t="shared" si="30"/>
        <v>262.01611395841638</v>
      </c>
      <c r="EK18" s="355">
        <f t="shared" si="31"/>
        <v>873.38704652805461</v>
      </c>
      <c r="EL18" s="355">
        <f t="shared" si="31"/>
        <v>0</v>
      </c>
      <c r="EM18" s="355">
        <f t="shared" si="31"/>
        <v>0</v>
      </c>
      <c r="EN18" s="355">
        <f t="shared" si="31"/>
        <v>436.69352326402731</v>
      </c>
      <c r="EO18" s="355">
        <f t="shared" si="31"/>
        <v>0</v>
      </c>
      <c r="EP18" s="355">
        <f t="shared" si="31"/>
        <v>0</v>
      </c>
      <c r="EQ18" s="355">
        <f t="shared" si="31"/>
        <v>0</v>
      </c>
      <c r="ER18" s="355">
        <f t="shared" si="31"/>
        <v>0</v>
      </c>
      <c r="ES18" s="355">
        <f t="shared" si="31"/>
        <v>93.161284962992497</v>
      </c>
      <c r="ET18" s="353">
        <f t="shared" si="42"/>
        <v>1665.257968713491</v>
      </c>
      <c r="EU18" s="356">
        <v>2005</v>
      </c>
      <c r="EV18" s="351">
        <v>50000</v>
      </c>
      <c r="EW18" s="356">
        <v>20</v>
      </c>
      <c r="EX18" s="356">
        <f t="shared" ref="EX18:EX24" si="51">$C$1-1-EU18</f>
        <v>17</v>
      </c>
      <c r="EY18" s="351">
        <f t="shared" ref="EY18:EY24" si="52">EV18/EW18</f>
        <v>2500</v>
      </c>
      <c r="EZ18" s="351">
        <f t="shared" ref="EZ18:EZ24" si="53">IF(EX18*EY18&lt;EV18,EX18*EY18,EV18)</f>
        <v>42500</v>
      </c>
      <c r="FA18" s="351">
        <f t="shared" si="50"/>
        <v>2500</v>
      </c>
      <c r="FC18" s="632" t="s">
        <v>1604</v>
      </c>
      <c r="FD18" s="632"/>
      <c r="FE18" s="632"/>
      <c r="FF18" s="632"/>
      <c r="FG18" s="632"/>
    </row>
    <row r="19" spans="1:165" ht="35" customHeight="1" x14ac:dyDescent="0.3">
      <c r="A19" s="330" t="s">
        <v>1730</v>
      </c>
      <c r="B19" s="318" t="s">
        <v>1599</v>
      </c>
      <c r="C19" s="318" t="s">
        <v>72</v>
      </c>
      <c r="D19" s="318" t="s">
        <v>321</v>
      </c>
      <c r="E19" s="318" t="s">
        <v>8</v>
      </c>
      <c r="F19" s="318" t="s">
        <v>278</v>
      </c>
      <c r="G19" s="318" t="s">
        <v>724</v>
      </c>
      <c r="H19" s="318" t="s">
        <v>895</v>
      </c>
      <c r="I19" s="318" t="s">
        <v>896</v>
      </c>
      <c r="J19" s="318" t="s">
        <v>1045</v>
      </c>
      <c r="K19" s="318" t="s">
        <v>1049</v>
      </c>
      <c r="L19" s="318" t="s">
        <v>1055</v>
      </c>
      <c r="M19" s="318" t="s">
        <v>1060</v>
      </c>
      <c r="N19" s="318" t="s">
        <v>1069</v>
      </c>
      <c r="O19" s="318" t="s">
        <v>1072</v>
      </c>
      <c r="P19" s="318" t="s">
        <v>1079</v>
      </c>
      <c r="Q19" s="318" t="s">
        <v>1080</v>
      </c>
      <c r="R19" s="318" t="s">
        <v>1086</v>
      </c>
      <c r="S19" s="318" t="s">
        <v>1089</v>
      </c>
      <c r="T19" s="318" t="s">
        <v>102</v>
      </c>
      <c r="U19" s="318" t="s">
        <v>102</v>
      </c>
      <c r="V19" s="318" t="s">
        <v>102</v>
      </c>
      <c r="W19" s="318" t="s">
        <v>102</v>
      </c>
      <c r="X19" s="318" t="s">
        <v>102</v>
      </c>
      <c r="Y19" s="318" t="s">
        <v>102</v>
      </c>
      <c r="Z19" s="318" t="s">
        <v>102</v>
      </c>
      <c r="AA19" s="318" t="s">
        <v>102</v>
      </c>
      <c r="AB19" s="318" t="s">
        <v>102</v>
      </c>
      <c r="AC19" s="318" t="s">
        <v>104</v>
      </c>
      <c r="AD19" s="318" t="s">
        <v>1771</v>
      </c>
      <c r="AE19" s="318">
        <v>225</v>
      </c>
      <c r="AF19" s="318">
        <v>40</v>
      </c>
      <c r="AG19" s="318">
        <v>1980</v>
      </c>
      <c r="AH19" s="318" t="s">
        <v>800</v>
      </c>
      <c r="AI19" s="318">
        <f t="shared" si="49"/>
        <v>1980</v>
      </c>
      <c r="AJ19" s="318" t="str">
        <f t="shared" si="43"/>
        <v>Estimated</v>
      </c>
      <c r="AK19" s="318">
        <v>2005</v>
      </c>
      <c r="AL19" s="318" t="s">
        <v>985</v>
      </c>
      <c r="AM19" s="317">
        <f t="shared" si="32"/>
        <v>135168.92773032549</v>
      </c>
      <c r="AN19" s="318" t="s">
        <v>800</v>
      </c>
      <c r="AO19" s="511">
        <f t="shared" si="33"/>
        <v>126168.92773032548</v>
      </c>
      <c r="AP19" s="511">
        <f t="shared" si="34"/>
        <v>9000.0000000000146</v>
      </c>
      <c r="AQ19" s="511">
        <f t="shared" si="35"/>
        <v>3000</v>
      </c>
      <c r="AR19" s="511">
        <f t="shared" si="36"/>
        <v>6000.0000000000146</v>
      </c>
      <c r="AS19" s="511">
        <f>HLOOKUP($C$1,'Inflation Adjustments'!$BI$3:$BT$4,2)*CQ19</f>
        <v>520604.19140624994</v>
      </c>
      <c r="AT19" s="511">
        <f>IF(BU19="In Service",'Maintenace Cost Assumptions'!$B$3*AS19,0)</f>
        <v>2603.02095703125</v>
      </c>
      <c r="AU19" s="318">
        <v>3</v>
      </c>
      <c r="AV19" s="318">
        <v>2</v>
      </c>
      <c r="AW19" s="318">
        <v>2</v>
      </c>
      <c r="AX19" s="318">
        <v>2</v>
      </c>
      <c r="AY19" s="318">
        <v>2</v>
      </c>
      <c r="AZ19" s="318">
        <v>3</v>
      </c>
      <c r="BA19" s="318">
        <v>2</v>
      </c>
      <c r="BB19" s="318"/>
      <c r="BC19" s="318"/>
      <c r="BD19" s="318"/>
      <c r="BE19" s="318">
        <v>1</v>
      </c>
      <c r="BF19" s="318"/>
      <c r="BG19" s="332">
        <f>(AU19*'Condition rating weights'!H$8+AV19*'Condition rating weights'!I$8+AW19*'Condition rating weights'!J$8+AX19*'Condition rating weights'!K$8+AY19*'Condition rating weights'!L$8+AZ19*'Condition rating weights'!M$8+BA19*'Condition rating weights'!N$8+BB19*'Condition rating weights'!O$8+BC19*'Condition rating weights'!P$8+BD19*'Condition rating weights'!Q$8+BE19*'Condition rating weights'!R$8+BF19*'Condition rating weights'!S$8)/100</f>
        <v>0.38</v>
      </c>
      <c r="BH19" s="333">
        <v>1</v>
      </c>
      <c r="BI19" s="333">
        <v>411</v>
      </c>
      <c r="BJ19" s="333" t="s">
        <v>12</v>
      </c>
      <c r="BK19" s="333" t="s">
        <v>959</v>
      </c>
      <c r="BL19" s="333" t="s">
        <v>960</v>
      </c>
      <c r="BM19" s="333" t="s">
        <v>961</v>
      </c>
      <c r="BN19" s="333" t="s">
        <v>117</v>
      </c>
      <c r="BO19" s="333" t="s">
        <v>962</v>
      </c>
      <c r="BP19" s="333" t="s">
        <v>962</v>
      </c>
      <c r="BQ19" s="333" t="s">
        <v>963</v>
      </c>
      <c r="BR19" s="333" t="s">
        <v>964</v>
      </c>
      <c r="BS19" s="333" t="s">
        <v>964</v>
      </c>
      <c r="BT19" s="334" t="s">
        <v>965</v>
      </c>
      <c r="BU19" s="335" t="s">
        <v>1429</v>
      </c>
      <c r="BV19" s="361"/>
      <c r="BW19" s="282"/>
      <c r="BX19" s="282"/>
      <c r="BY19" s="282"/>
      <c r="BZ19" s="282"/>
      <c r="CA19" s="282"/>
      <c r="CB19" s="282"/>
      <c r="CC19" s="282"/>
      <c r="CD19" s="282"/>
      <c r="CE19" s="282"/>
      <c r="CF19" s="282"/>
      <c r="CG19" s="351">
        <f t="shared" si="5"/>
        <v>33750</v>
      </c>
      <c r="CH19" s="351">
        <f t="shared" si="6"/>
        <v>112500</v>
      </c>
      <c r="CI19" s="351">
        <f t="shared" si="7"/>
        <v>22500</v>
      </c>
      <c r="CJ19" s="351">
        <f t="shared" si="8"/>
        <v>33750</v>
      </c>
      <c r="CK19" s="351">
        <f t="shared" si="9"/>
        <v>56250</v>
      </c>
      <c r="CL19" s="351">
        <f t="shared" si="10"/>
        <v>22500</v>
      </c>
      <c r="CM19" s="351">
        <f t="shared" si="11"/>
        <v>18000</v>
      </c>
      <c r="CN19" s="351">
        <f t="shared" si="12"/>
        <v>18000</v>
      </c>
      <c r="CO19" s="351">
        <f t="shared" si="13"/>
        <v>22500</v>
      </c>
      <c r="CP19" s="351">
        <f t="shared" si="14"/>
        <v>9000</v>
      </c>
      <c r="CQ19" s="352">
        <f t="shared" si="38"/>
        <v>348750</v>
      </c>
      <c r="CR19" s="353">
        <f>(HLOOKUP($AI19,'Inflation Adjustments'!$B$3:$BT$4,2,TRUE))*CG19</f>
        <v>7274.4123609992412</v>
      </c>
      <c r="CS19" s="353">
        <f>(HLOOKUP($AI19,'Inflation Adjustments'!$B$3:$BT$4,2,TRUE))*CH19</f>
        <v>24248.041203330802</v>
      </c>
      <c r="CT19" s="353">
        <f>(HLOOKUP($AI19,'Inflation Adjustments'!$B$3:$BT$4,2,TRUE))*CI19</f>
        <v>4849.6082406661608</v>
      </c>
      <c r="CU19" s="353">
        <f>(HLOOKUP($AI19,'Inflation Adjustments'!$B$3:$BT$4,2,TRUE))*CJ19</f>
        <v>7274.4123609992412</v>
      </c>
      <c r="CV19" s="353">
        <f>(HLOOKUP($AI19,'Inflation Adjustments'!$B$3:$BT$4,2,TRUE))*CK19</f>
        <v>12124.020601665401</v>
      </c>
      <c r="CW19" s="353">
        <f>(HLOOKUP($AI19,'Inflation Adjustments'!$B$3:$BT$4,2,TRUE))*CL19</f>
        <v>4849.6082406661608</v>
      </c>
      <c r="CX19" s="353">
        <f>(HLOOKUP($AI19,'Inflation Adjustments'!$B$3:$BT$4,2,TRUE))*CM19</f>
        <v>3879.6865925329284</v>
      </c>
      <c r="CY19" s="353">
        <f>(HLOOKUP($AI19,'Inflation Adjustments'!$B$3:$BT$4,2,TRUE))*CN19</f>
        <v>3879.6865925329284</v>
      </c>
      <c r="CZ19" s="353">
        <f>(HLOOKUP($AI19,'Inflation Adjustments'!$B$3:$BT$4,2,TRUE))*CO19</f>
        <v>4849.6082406661608</v>
      </c>
      <c r="DA19" s="353">
        <f>(HLOOKUP($AI19,'Inflation Adjustments'!$B$3:$BT$4,2,TRUE))*CP19</f>
        <v>1939.8432962664642</v>
      </c>
      <c r="DB19" s="353">
        <f t="shared" si="39"/>
        <v>75168.927730325478</v>
      </c>
      <c r="DC19" s="354">
        <f t="shared" ref="DC19:DC47" si="54">$C$1-AI19-1</f>
        <v>42</v>
      </c>
      <c r="DD19" s="351">
        <f t="shared" si="16"/>
        <v>40</v>
      </c>
      <c r="DE19" s="351">
        <f t="shared" si="17"/>
        <v>40</v>
      </c>
      <c r="DF19" s="351">
        <f t="shared" si="18"/>
        <v>10</v>
      </c>
      <c r="DG19" s="351">
        <f t="shared" si="19"/>
        <v>20</v>
      </c>
      <c r="DH19" s="351">
        <f t="shared" si="20"/>
        <v>40</v>
      </c>
      <c r="DI19" s="351">
        <f t="shared" si="21"/>
        <v>20</v>
      </c>
      <c r="DJ19" s="351">
        <f t="shared" si="22"/>
        <v>10</v>
      </c>
      <c r="DK19" s="351">
        <f t="shared" si="23"/>
        <v>10</v>
      </c>
      <c r="DL19" s="351">
        <f t="shared" si="24"/>
        <v>20</v>
      </c>
      <c r="DM19" s="351">
        <f t="shared" si="25"/>
        <v>30</v>
      </c>
      <c r="DN19" s="355">
        <f t="shared" si="26"/>
        <v>181.86030902498104</v>
      </c>
      <c r="DO19" s="355">
        <f t="shared" si="27"/>
        <v>606.2010300832701</v>
      </c>
      <c r="DP19" s="355">
        <f t="shared" si="27"/>
        <v>484.96082406661606</v>
      </c>
      <c r="DQ19" s="355">
        <f t="shared" si="27"/>
        <v>363.72061804996207</v>
      </c>
      <c r="DR19" s="355">
        <f t="shared" si="27"/>
        <v>303.10051504163505</v>
      </c>
      <c r="DS19" s="355">
        <f t="shared" si="27"/>
        <v>242.48041203330803</v>
      </c>
      <c r="DT19" s="355">
        <f t="shared" si="27"/>
        <v>387.96865925329286</v>
      </c>
      <c r="DU19" s="355">
        <f t="shared" si="27"/>
        <v>387.96865925329286</v>
      </c>
      <c r="DV19" s="355">
        <f t="shared" si="27"/>
        <v>242.48041203330803</v>
      </c>
      <c r="DW19" s="355">
        <f t="shared" si="27"/>
        <v>64.661443208882147</v>
      </c>
      <c r="DX19" s="355">
        <f t="shared" si="40"/>
        <v>3265.4028820485482</v>
      </c>
      <c r="DY19" s="351">
        <f t="shared" si="28"/>
        <v>7274.4123609992412</v>
      </c>
      <c r="DZ19" s="351">
        <f t="shared" si="29"/>
        <v>24248.041203330802</v>
      </c>
      <c r="EA19" s="351">
        <f t="shared" si="29"/>
        <v>4849.6082406661608</v>
      </c>
      <c r="EB19" s="351">
        <f t="shared" si="29"/>
        <v>7274.4123609992412</v>
      </c>
      <c r="EC19" s="351">
        <f t="shared" si="29"/>
        <v>12124.020601665401</v>
      </c>
      <c r="ED19" s="351">
        <f t="shared" si="29"/>
        <v>4849.6082406661608</v>
      </c>
      <c r="EE19" s="351">
        <f t="shared" si="29"/>
        <v>3879.6865925329284</v>
      </c>
      <c r="EF19" s="351">
        <f t="shared" si="29"/>
        <v>3879.6865925329284</v>
      </c>
      <c r="EG19" s="351">
        <f t="shared" si="29"/>
        <v>4849.6082406661608</v>
      </c>
      <c r="EH19" s="351">
        <f t="shared" si="29"/>
        <v>1939.8432962664642</v>
      </c>
      <c r="EI19" s="352">
        <f t="shared" si="41"/>
        <v>75168.927730325478</v>
      </c>
      <c r="EJ19" s="355">
        <f t="shared" si="30"/>
        <v>0</v>
      </c>
      <c r="EK19" s="355">
        <f t="shared" si="31"/>
        <v>0</v>
      </c>
      <c r="EL19" s="355">
        <f t="shared" si="31"/>
        <v>0</v>
      </c>
      <c r="EM19" s="355">
        <f t="shared" si="31"/>
        <v>0</v>
      </c>
      <c r="EN19" s="355">
        <f t="shared" si="31"/>
        <v>0</v>
      </c>
      <c r="EO19" s="355">
        <f t="shared" si="31"/>
        <v>0</v>
      </c>
      <c r="EP19" s="355">
        <f t="shared" si="31"/>
        <v>0</v>
      </c>
      <c r="EQ19" s="355">
        <f t="shared" si="31"/>
        <v>0</v>
      </c>
      <c r="ER19" s="355">
        <f t="shared" si="31"/>
        <v>0</v>
      </c>
      <c r="ES19" s="355">
        <f t="shared" si="31"/>
        <v>0</v>
      </c>
      <c r="ET19" s="353">
        <f t="shared" si="42"/>
        <v>0</v>
      </c>
      <c r="EU19" s="356">
        <v>2005</v>
      </c>
      <c r="EV19" s="351">
        <v>60000</v>
      </c>
      <c r="EW19" s="356">
        <v>20</v>
      </c>
      <c r="EX19" s="356">
        <f t="shared" si="51"/>
        <v>17</v>
      </c>
      <c r="EY19" s="351">
        <f t="shared" si="52"/>
        <v>3000</v>
      </c>
      <c r="EZ19" s="351">
        <f t="shared" si="53"/>
        <v>51000</v>
      </c>
      <c r="FA19" s="351">
        <f t="shared" si="50"/>
        <v>3000</v>
      </c>
      <c r="FC19" s="630" t="s">
        <v>1600</v>
      </c>
      <c r="FD19" s="630"/>
      <c r="FE19" s="630"/>
      <c r="FF19" s="630"/>
      <c r="FG19" s="630"/>
    </row>
    <row r="20" spans="1:165" ht="35" customHeight="1" x14ac:dyDescent="0.3">
      <c r="A20" s="330" t="s">
        <v>1731</v>
      </c>
      <c r="B20" s="318" t="s">
        <v>1038</v>
      </c>
      <c r="C20" s="318" t="s">
        <v>72</v>
      </c>
      <c r="D20" s="318" t="s">
        <v>321</v>
      </c>
      <c r="E20" s="318" t="s">
        <v>8</v>
      </c>
      <c r="F20" s="318" t="s">
        <v>271</v>
      </c>
      <c r="G20" s="318" t="s">
        <v>724</v>
      </c>
      <c r="H20" s="318" t="s">
        <v>895</v>
      </c>
      <c r="I20" s="318" t="s">
        <v>896</v>
      </c>
      <c r="J20" s="318" t="s">
        <v>1045</v>
      </c>
      <c r="K20" s="318" t="s">
        <v>1047</v>
      </c>
      <c r="L20" s="318" t="s">
        <v>1055</v>
      </c>
      <c r="M20" s="318" t="s">
        <v>1061</v>
      </c>
      <c r="N20" s="318" t="s">
        <v>1069</v>
      </c>
      <c r="O20" s="318" t="s">
        <v>1072</v>
      </c>
      <c r="P20" s="318" t="s">
        <v>117</v>
      </c>
      <c r="Q20" s="318" t="s">
        <v>1080</v>
      </c>
      <c r="R20" s="318" t="s">
        <v>1086</v>
      </c>
      <c r="S20" s="318" t="s">
        <v>1089</v>
      </c>
      <c r="T20" s="318" t="s">
        <v>102</v>
      </c>
      <c r="U20" s="318" t="s">
        <v>102</v>
      </c>
      <c r="V20" s="318" t="s">
        <v>102</v>
      </c>
      <c r="W20" s="318" t="s">
        <v>102</v>
      </c>
      <c r="X20" s="318" t="s">
        <v>102</v>
      </c>
      <c r="Y20" s="318" t="s">
        <v>102</v>
      </c>
      <c r="Z20" s="318" t="s">
        <v>102</v>
      </c>
      <c r="AA20" s="318" t="s">
        <v>102</v>
      </c>
      <c r="AB20" s="318" t="s">
        <v>102</v>
      </c>
      <c r="AC20" s="318" t="s">
        <v>104</v>
      </c>
      <c r="AD20" s="318" t="s">
        <v>1771</v>
      </c>
      <c r="AE20" s="318">
        <v>72</v>
      </c>
      <c r="AF20" s="318">
        <v>40</v>
      </c>
      <c r="AG20" s="318">
        <v>1995</v>
      </c>
      <c r="AH20" s="318" t="s">
        <v>800</v>
      </c>
      <c r="AI20" s="318">
        <f t="shared" si="49"/>
        <v>1995</v>
      </c>
      <c r="AJ20" s="318" t="str">
        <f t="shared" si="43"/>
        <v>Estimated</v>
      </c>
      <c r="AK20" s="318">
        <v>2005</v>
      </c>
      <c r="AL20" s="318" t="s">
        <v>985</v>
      </c>
      <c r="AM20" s="317">
        <f t="shared" si="32"/>
        <v>53319.997507791515</v>
      </c>
      <c r="AN20" s="318" t="s">
        <v>800</v>
      </c>
      <c r="AO20" s="511">
        <f t="shared" si="33"/>
        <v>43533.301210333331</v>
      </c>
      <c r="AP20" s="511">
        <f t="shared" si="34"/>
        <v>9786.6962974581838</v>
      </c>
      <c r="AQ20" s="511">
        <f t="shared" si="35"/>
        <v>1166.1031874853963</v>
      </c>
      <c r="AR20" s="511">
        <f t="shared" si="36"/>
        <v>8620.5931099727877</v>
      </c>
      <c r="AS20" s="511">
        <f>HLOOKUP($C$1,'Inflation Adjustments'!$BI$3:$BT$4,2)*CQ20</f>
        <v>166593.34125</v>
      </c>
      <c r="AT20" s="511">
        <f>IF(BU20="In Service",'Maintenace Cost Assumptions'!$B$3*AS20,0)</f>
        <v>832.96670625000002</v>
      </c>
      <c r="AU20" s="318">
        <v>3</v>
      </c>
      <c r="AV20" s="318">
        <v>3</v>
      </c>
      <c r="AW20" s="318">
        <v>3</v>
      </c>
      <c r="AX20" s="318">
        <v>3</v>
      </c>
      <c r="AY20" s="318">
        <v>3</v>
      </c>
      <c r="AZ20" s="318">
        <v>3</v>
      </c>
      <c r="BA20" s="318">
        <v>3</v>
      </c>
      <c r="BB20" s="318"/>
      <c r="BC20" s="318"/>
      <c r="BD20" s="318"/>
      <c r="BE20" s="318">
        <v>4</v>
      </c>
      <c r="BF20" s="318"/>
      <c r="BG20" s="332">
        <f>(AU20*'Condition rating weights'!H$8+AV20*'Condition rating weights'!I$8+AW20*'Condition rating weights'!J$8+AX20*'Condition rating weights'!K$8+AY20*'Condition rating weights'!L$8+AZ20*'Condition rating weights'!M$8+BA20*'Condition rating weights'!N$8+BB20*'Condition rating weights'!O$8+BC20*'Condition rating weights'!P$8+BD20*'Condition rating weights'!Q$8+BE20*'Condition rating weights'!R$8+BF20*'Condition rating weights'!S$8)/100</f>
        <v>0.66</v>
      </c>
      <c r="BH20" s="333">
        <v>1</v>
      </c>
      <c r="BI20" s="333">
        <v>111</v>
      </c>
      <c r="BJ20" s="333" t="s">
        <v>12</v>
      </c>
      <c r="BK20" s="333" t="s">
        <v>959</v>
      </c>
      <c r="BL20" s="333" t="s">
        <v>960</v>
      </c>
      <c r="BM20" s="333" t="s">
        <v>961</v>
      </c>
      <c r="BN20" s="333" t="s">
        <v>117</v>
      </c>
      <c r="BO20" s="333" t="s">
        <v>962</v>
      </c>
      <c r="BP20" s="333" t="s">
        <v>962</v>
      </c>
      <c r="BQ20" s="333" t="s">
        <v>963</v>
      </c>
      <c r="BR20" s="333" t="s">
        <v>964</v>
      </c>
      <c r="BS20" s="333" t="s">
        <v>964</v>
      </c>
      <c r="BT20" s="334" t="s">
        <v>965</v>
      </c>
      <c r="BU20" s="335" t="s">
        <v>1429</v>
      </c>
      <c r="BV20" s="282"/>
      <c r="BW20" s="282"/>
      <c r="BX20" s="282"/>
      <c r="BY20" s="282"/>
      <c r="BZ20" s="282"/>
      <c r="CA20" s="282"/>
      <c r="CB20" s="282"/>
      <c r="CC20" s="282"/>
      <c r="CD20" s="282"/>
      <c r="CE20" s="282"/>
      <c r="CF20" s="282"/>
      <c r="CG20" s="351">
        <f t="shared" si="5"/>
        <v>10800</v>
      </c>
      <c r="CH20" s="351">
        <f t="shared" si="6"/>
        <v>36000</v>
      </c>
      <c r="CI20" s="351">
        <f t="shared" si="7"/>
        <v>7200</v>
      </c>
      <c r="CJ20" s="351">
        <f t="shared" si="8"/>
        <v>10800</v>
      </c>
      <c r="CK20" s="351">
        <f t="shared" si="9"/>
        <v>18000</v>
      </c>
      <c r="CL20" s="351">
        <f t="shared" si="10"/>
        <v>7200</v>
      </c>
      <c r="CM20" s="351">
        <f t="shared" si="11"/>
        <v>5760</v>
      </c>
      <c r="CN20" s="351">
        <f t="shared" si="12"/>
        <v>5760</v>
      </c>
      <c r="CO20" s="351">
        <f t="shared" si="13"/>
        <v>7200</v>
      </c>
      <c r="CP20" s="351">
        <f t="shared" si="14"/>
        <v>2880</v>
      </c>
      <c r="CQ20" s="352">
        <f t="shared" si="38"/>
        <v>111600</v>
      </c>
      <c r="CR20" s="353">
        <f>(HLOOKUP($AI20,'Inflation Adjustments'!$B$3:$BT$4,2,TRUE))*CG20</f>
        <v>4192.2578233346621</v>
      </c>
      <c r="CS20" s="353">
        <f>(HLOOKUP($AI20,'Inflation Adjustments'!$B$3:$BT$4,2,TRUE))*CH20</f>
        <v>13974.192744448874</v>
      </c>
      <c r="CT20" s="353">
        <f>(HLOOKUP($AI20,'Inflation Adjustments'!$B$3:$BT$4,2,TRUE))*CI20</f>
        <v>2794.8385488897748</v>
      </c>
      <c r="CU20" s="353">
        <f>(HLOOKUP($AI20,'Inflation Adjustments'!$B$3:$BT$4,2,TRUE))*CJ20</f>
        <v>4192.2578233346621</v>
      </c>
      <c r="CV20" s="353">
        <f>(HLOOKUP($AI20,'Inflation Adjustments'!$B$3:$BT$4,2,TRUE))*CK20</f>
        <v>6987.0963722244369</v>
      </c>
      <c r="CW20" s="353">
        <f>(HLOOKUP($AI20,'Inflation Adjustments'!$B$3:$BT$4,2,TRUE))*CL20</f>
        <v>2794.8385488897748</v>
      </c>
      <c r="CX20" s="353">
        <f>(HLOOKUP($AI20,'Inflation Adjustments'!$B$3:$BT$4,2,TRUE))*CM20</f>
        <v>2235.8708391118198</v>
      </c>
      <c r="CY20" s="353">
        <f>(HLOOKUP($AI20,'Inflation Adjustments'!$B$3:$BT$4,2,TRUE))*CN20</f>
        <v>2235.8708391118198</v>
      </c>
      <c r="CZ20" s="353">
        <f>(HLOOKUP($AI20,'Inflation Adjustments'!$B$3:$BT$4,2,TRUE))*CO20</f>
        <v>2794.8385488897748</v>
      </c>
      <c r="DA20" s="353">
        <f>(HLOOKUP($AI20,'Inflation Adjustments'!$B$3:$BT$4,2,TRUE))*CP20</f>
        <v>1117.9354195559099</v>
      </c>
      <c r="DB20" s="353">
        <f t="shared" si="39"/>
        <v>43319.997507791515</v>
      </c>
      <c r="DC20" s="354">
        <f t="shared" si="54"/>
        <v>27</v>
      </c>
      <c r="DD20" s="351">
        <f t="shared" si="16"/>
        <v>40</v>
      </c>
      <c r="DE20" s="351">
        <f t="shared" si="17"/>
        <v>40</v>
      </c>
      <c r="DF20" s="351">
        <f t="shared" si="18"/>
        <v>10</v>
      </c>
      <c r="DG20" s="351">
        <f t="shared" si="19"/>
        <v>20</v>
      </c>
      <c r="DH20" s="351">
        <f t="shared" si="20"/>
        <v>40</v>
      </c>
      <c r="DI20" s="351">
        <f t="shared" si="21"/>
        <v>20</v>
      </c>
      <c r="DJ20" s="351">
        <f t="shared" si="22"/>
        <v>10</v>
      </c>
      <c r="DK20" s="351">
        <f t="shared" si="23"/>
        <v>10</v>
      </c>
      <c r="DL20" s="351">
        <f t="shared" si="24"/>
        <v>20</v>
      </c>
      <c r="DM20" s="351">
        <f t="shared" si="25"/>
        <v>30</v>
      </c>
      <c r="DN20" s="355">
        <f t="shared" si="26"/>
        <v>104.80644558336655</v>
      </c>
      <c r="DO20" s="355">
        <f t="shared" si="27"/>
        <v>349.35481861122184</v>
      </c>
      <c r="DP20" s="355">
        <f t="shared" si="27"/>
        <v>279.48385488897748</v>
      </c>
      <c r="DQ20" s="355">
        <f t="shared" si="27"/>
        <v>209.61289116673311</v>
      </c>
      <c r="DR20" s="355">
        <f t="shared" si="27"/>
        <v>174.67740930561092</v>
      </c>
      <c r="DS20" s="355">
        <f t="shared" si="27"/>
        <v>139.74192744448874</v>
      </c>
      <c r="DT20" s="355">
        <f t="shared" si="27"/>
        <v>223.58708391118199</v>
      </c>
      <c r="DU20" s="355">
        <f t="shared" si="27"/>
        <v>223.58708391118199</v>
      </c>
      <c r="DV20" s="355">
        <f t="shared" si="27"/>
        <v>139.74192744448874</v>
      </c>
      <c r="DW20" s="355">
        <f t="shared" si="27"/>
        <v>37.264513985196999</v>
      </c>
      <c r="DX20" s="355">
        <f t="shared" si="40"/>
        <v>1881.8579562524483</v>
      </c>
      <c r="DY20" s="351">
        <f t="shared" si="28"/>
        <v>2829.7740307508971</v>
      </c>
      <c r="DZ20" s="351">
        <f t="shared" si="29"/>
        <v>9432.5801025029905</v>
      </c>
      <c r="EA20" s="351">
        <f t="shared" si="29"/>
        <v>2794.8385488897748</v>
      </c>
      <c r="EB20" s="351">
        <f t="shared" si="29"/>
        <v>4192.2578233346621</v>
      </c>
      <c r="EC20" s="351">
        <f t="shared" si="29"/>
        <v>4716.2900512514952</v>
      </c>
      <c r="ED20" s="351">
        <f t="shared" si="29"/>
        <v>2794.8385488897748</v>
      </c>
      <c r="EE20" s="351">
        <f t="shared" si="29"/>
        <v>2235.8708391118198</v>
      </c>
      <c r="EF20" s="351">
        <f t="shared" si="29"/>
        <v>2235.8708391118198</v>
      </c>
      <c r="EG20" s="351">
        <f t="shared" si="29"/>
        <v>2794.8385488897748</v>
      </c>
      <c r="EH20" s="351">
        <f t="shared" si="29"/>
        <v>1006.1418776003189</v>
      </c>
      <c r="EI20" s="352">
        <f t="shared" si="41"/>
        <v>35033.301210333331</v>
      </c>
      <c r="EJ20" s="355">
        <f t="shared" si="30"/>
        <v>104.80644558336655</v>
      </c>
      <c r="EK20" s="355">
        <f t="shared" si="31"/>
        <v>349.35481861122184</v>
      </c>
      <c r="EL20" s="355">
        <f t="shared" si="31"/>
        <v>0</v>
      </c>
      <c r="EM20" s="355">
        <f t="shared" si="31"/>
        <v>0</v>
      </c>
      <c r="EN20" s="355">
        <f t="shared" si="31"/>
        <v>174.67740930561092</v>
      </c>
      <c r="EO20" s="355">
        <f t="shared" si="31"/>
        <v>0</v>
      </c>
      <c r="EP20" s="355">
        <f t="shared" si="31"/>
        <v>0</v>
      </c>
      <c r="EQ20" s="355">
        <f t="shared" si="31"/>
        <v>0</v>
      </c>
      <c r="ER20" s="355">
        <f t="shared" si="31"/>
        <v>0</v>
      </c>
      <c r="ES20" s="355">
        <f t="shared" si="31"/>
        <v>37.264513985196999</v>
      </c>
      <c r="ET20" s="353">
        <f t="shared" si="42"/>
        <v>666.10318748539635</v>
      </c>
      <c r="EU20" s="356">
        <v>2005</v>
      </c>
      <c r="EV20" s="351">
        <v>10000</v>
      </c>
      <c r="EW20" s="356">
        <v>20</v>
      </c>
      <c r="EX20" s="356">
        <f t="shared" si="51"/>
        <v>17</v>
      </c>
      <c r="EY20" s="351">
        <f t="shared" si="52"/>
        <v>500</v>
      </c>
      <c r="EZ20" s="351">
        <f t="shared" si="53"/>
        <v>8500</v>
      </c>
      <c r="FA20" s="351">
        <f t="shared" si="50"/>
        <v>500</v>
      </c>
      <c r="FC20" s="91" t="s">
        <v>1590</v>
      </c>
    </row>
    <row r="21" spans="1:165" ht="35" customHeight="1" x14ac:dyDescent="0.3">
      <c r="A21" s="330" t="s">
        <v>1732</v>
      </c>
      <c r="B21" s="318" t="s">
        <v>1037</v>
      </c>
      <c r="C21" s="318" t="s">
        <v>72</v>
      </c>
      <c r="D21" s="318" t="s">
        <v>321</v>
      </c>
      <c r="E21" s="318" t="s">
        <v>8</v>
      </c>
      <c r="F21" s="318" t="s">
        <v>271</v>
      </c>
      <c r="G21" s="318" t="s">
        <v>724</v>
      </c>
      <c r="H21" s="318" t="s">
        <v>895</v>
      </c>
      <c r="I21" s="318" t="s">
        <v>896</v>
      </c>
      <c r="J21" s="318" t="s">
        <v>1045</v>
      </c>
      <c r="K21" s="318" t="s">
        <v>1047</v>
      </c>
      <c r="L21" s="318" t="s">
        <v>1055</v>
      </c>
      <c r="M21" s="318" t="s">
        <v>1061</v>
      </c>
      <c r="N21" s="318" t="s">
        <v>1069</v>
      </c>
      <c r="O21" s="318" t="s">
        <v>1072</v>
      </c>
      <c r="P21" s="318" t="s">
        <v>1079</v>
      </c>
      <c r="Q21" s="318" t="s">
        <v>1080</v>
      </c>
      <c r="R21" s="318" t="s">
        <v>1086</v>
      </c>
      <c r="S21" s="318" t="s">
        <v>1089</v>
      </c>
      <c r="T21" s="318" t="s">
        <v>102</v>
      </c>
      <c r="U21" s="318" t="s">
        <v>102</v>
      </c>
      <c r="V21" s="318" t="s">
        <v>102</v>
      </c>
      <c r="W21" s="318" t="s">
        <v>102</v>
      </c>
      <c r="X21" s="318" t="s">
        <v>102</v>
      </c>
      <c r="Y21" s="318" t="s">
        <v>102</v>
      </c>
      <c r="Z21" s="318" t="s">
        <v>102</v>
      </c>
      <c r="AA21" s="318" t="s">
        <v>102</v>
      </c>
      <c r="AB21" s="318" t="s">
        <v>102</v>
      </c>
      <c r="AC21" s="318" t="s">
        <v>104</v>
      </c>
      <c r="AD21" s="318" t="s">
        <v>1771</v>
      </c>
      <c r="AE21" s="318">
        <v>130</v>
      </c>
      <c r="AF21" s="318">
        <v>40</v>
      </c>
      <c r="AG21" s="318">
        <v>1995</v>
      </c>
      <c r="AH21" s="318" t="s">
        <v>800</v>
      </c>
      <c r="AI21" s="318">
        <f t="shared" si="49"/>
        <v>1995</v>
      </c>
      <c r="AJ21" s="318" t="str">
        <f t="shared" si="43"/>
        <v>Estimated</v>
      </c>
      <c r="AK21" s="318">
        <v>2005</v>
      </c>
      <c r="AL21" s="318" t="s">
        <v>985</v>
      </c>
      <c r="AM21" s="317">
        <f t="shared" si="32"/>
        <v>118216.66216684577</v>
      </c>
      <c r="AN21" s="318" t="s">
        <v>800</v>
      </c>
      <c r="AO21" s="511">
        <f t="shared" si="33"/>
        <v>97254.571629768514</v>
      </c>
      <c r="AP21" s="511">
        <f t="shared" si="34"/>
        <v>20962.090537077253</v>
      </c>
      <c r="AQ21" s="511">
        <f t="shared" si="35"/>
        <v>3202.6863107375211</v>
      </c>
      <c r="AR21" s="511">
        <f t="shared" si="36"/>
        <v>17759.404226339731</v>
      </c>
      <c r="AS21" s="511">
        <f>HLOOKUP($C$1,'Inflation Adjustments'!$BI$3:$BT$4,2)*CQ21</f>
        <v>300793.53281249997</v>
      </c>
      <c r="AT21" s="511">
        <f>IF(BU21="In Service",'Maintenace Cost Assumptions'!$B$3*AS21,0)</f>
        <v>1503.9676640624998</v>
      </c>
      <c r="AU21" s="318">
        <v>3</v>
      </c>
      <c r="AV21" s="318">
        <v>3</v>
      </c>
      <c r="AW21" s="318">
        <v>3</v>
      </c>
      <c r="AX21" s="318">
        <v>3</v>
      </c>
      <c r="AY21" s="318">
        <v>3</v>
      </c>
      <c r="AZ21" s="318">
        <v>3</v>
      </c>
      <c r="BA21" s="318">
        <v>3</v>
      </c>
      <c r="BB21" s="318"/>
      <c r="BC21" s="318"/>
      <c r="BD21" s="318"/>
      <c r="BE21" s="318">
        <v>4</v>
      </c>
      <c r="BF21" s="318"/>
      <c r="BG21" s="332">
        <f>(AU21*'Condition rating weights'!H$8+AV21*'Condition rating weights'!I$8+AW21*'Condition rating weights'!J$8+AX21*'Condition rating weights'!K$8+AY21*'Condition rating weights'!L$8+AZ21*'Condition rating weights'!M$8+BA21*'Condition rating weights'!N$8+BB21*'Condition rating weights'!O$8+BC21*'Condition rating weights'!P$8+BD21*'Condition rating weights'!Q$8+BE21*'Condition rating weights'!R$8+BF21*'Condition rating weights'!S$8)/100</f>
        <v>0.66</v>
      </c>
      <c r="BH21" s="333">
        <v>1</v>
      </c>
      <c r="BI21" s="333">
        <v>111</v>
      </c>
      <c r="BJ21" s="333" t="s">
        <v>12</v>
      </c>
      <c r="BK21" s="333" t="s">
        <v>959</v>
      </c>
      <c r="BL21" s="333" t="s">
        <v>960</v>
      </c>
      <c r="BM21" s="333" t="s">
        <v>961</v>
      </c>
      <c r="BN21" s="333" t="s">
        <v>117</v>
      </c>
      <c r="BO21" s="333" t="s">
        <v>962</v>
      </c>
      <c r="BP21" s="333" t="s">
        <v>962</v>
      </c>
      <c r="BQ21" s="333" t="s">
        <v>978</v>
      </c>
      <c r="BR21" s="333" t="s">
        <v>964</v>
      </c>
      <c r="BS21" s="333" t="s">
        <v>964</v>
      </c>
      <c r="BT21" s="334" t="s">
        <v>965</v>
      </c>
      <c r="BU21" s="335" t="s">
        <v>1429</v>
      </c>
      <c r="BV21" s="282"/>
      <c r="BW21" s="282"/>
      <c r="BX21" s="282"/>
      <c r="BY21" s="282"/>
      <c r="BZ21" s="282"/>
      <c r="CA21" s="282"/>
      <c r="CB21" s="282"/>
      <c r="CC21" s="282"/>
      <c r="CD21" s="282"/>
      <c r="CE21" s="282"/>
      <c r="CF21" s="282"/>
      <c r="CG21" s="351">
        <f t="shared" si="5"/>
        <v>19500</v>
      </c>
      <c r="CH21" s="351">
        <f t="shared" si="6"/>
        <v>65000</v>
      </c>
      <c r="CI21" s="351">
        <f t="shared" si="7"/>
        <v>13000</v>
      </c>
      <c r="CJ21" s="351">
        <f t="shared" si="8"/>
        <v>19500</v>
      </c>
      <c r="CK21" s="351">
        <f t="shared" si="9"/>
        <v>32500</v>
      </c>
      <c r="CL21" s="351">
        <f t="shared" si="10"/>
        <v>13000</v>
      </c>
      <c r="CM21" s="351">
        <f t="shared" si="11"/>
        <v>10400</v>
      </c>
      <c r="CN21" s="351">
        <f t="shared" si="12"/>
        <v>10400</v>
      </c>
      <c r="CO21" s="351">
        <f t="shared" si="13"/>
        <v>13000</v>
      </c>
      <c r="CP21" s="351">
        <f t="shared" si="14"/>
        <v>5200</v>
      </c>
      <c r="CQ21" s="352">
        <f t="shared" si="38"/>
        <v>201500</v>
      </c>
      <c r="CR21" s="353">
        <f>(HLOOKUP($AI21,'Inflation Adjustments'!$B$3:$BT$4,2,TRUE))*CG21</f>
        <v>7569.35440324314</v>
      </c>
      <c r="CS21" s="353">
        <f>(HLOOKUP($AI21,'Inflation Adjustments'!$B$3:$BT$4,2,TRUE))*CH21</f>
        <v>25231.181344143799</v>
      </c>
      <c r="CT21" s="353">
        <f>(HLOOKUP($AI21,'Inflation Adjustments'!$B$3:$BT$4,2,TRUE))*CI21</f>
        <v>5046.2362688287594</v>
      </c>
      <c r="CU21" s="353">
        <f>(HLOOKUP($AI21,'Inflation Adjustments'!$B$3:$BT$4,2,TRUE))*CJ21</f>
        <v>7569.35440324314</v>
      </c>
      <c r="CV21" s="353">
        <f>(HLOOKUP($AI21,'Inflation Adjustments'!$B$3:$BT$4,2,TRUE))*CK21</f>
        <v>12615.590672071899</v>
      </c>
      <c r="CW21" s="353">
        <f>(HLOOKUP($AI21,'Inflation Adjustments'!$B$3:$BT$4,2,TRUE))*CL21</f>
        <v>5046.2362688287594</v>
      </c>
      <c r="CX21" s="353">
        <f>(HLOOKUP($AI21,'Inflation Adjustments'!$B$3:$BT$4,2,TRUE))*CM21</f>
        <v>4036.9890150630076</v>
      </c>
      <c r="CY21" s="353">
        <f>(HLOOKUP($AI21,'Inflation Adjustments'!$B$3:$BT$4,2,TRUE))*CN21</f>
        <v>4036.9890150630076</v>
      </c>
      <c r="CZ21" s="353">
        <f>(HLOOKUP($AI21,'Inflation Adjustments'!$B$3:$BT$4,2,TRUE))*CO21</f>
        <v>5046.2362688287594</v>
      </c>
      <c r="DA21" s="353">
        <f>(HLOOKUP($AI21,'Inflation Adjustments'!$B$3:$BT$4,2,TRUE))*CP21</f>
        <v>2018.4945075315038</v>
      </c>
      <c r="DB21" s="353">
        <f t="shared" si="39"/>
        <v>78216.662166845766</v>
      </c>
      <c r="DC21" s="354">
        <f t="shared" si="54"/>
        <v>27</v>
      </c>
      <c r="DD21" s="351">
        <f t="shared" si="16"/>
        <v>40</v>
      </c>
      <c r="DE21" s="351">
        <f t="shared" si="17"/>
        <v>40</v>
      </c>
      <c r="DF21" s="351">
        <f t="shared" si="18"/>
        <v>10</v>
      </c>
      <c r="DG21" s="351">
        <f t="shared" si="19"/>
        <v>20</v>
      </c>
      <c r="DH21" s="351">
        <f t="shared" si="20"/>
        <v>40</v>
      </c>
      <c r="DI21" s="351">
        <f t="shared" si="21"/>
        <v>20</v>
      </c>
      <c r="DJ21" s="351">
        <f t="shared" si="22"/>
        <v>10</v>
      </c>
      <c r="DK21" s="351">
        <f t="shared" si="23"/>
        <v>10</v>
      </c>
      <c r="DL21" s="351">
        <f t="shared" si="24"/>
        <v>20</v>
      </c>
      <c r="DM21" s="351">
        <f t="shared" si="25"/>
        <v>30</v>
      </c>
      <c r="DN21" s="355">
        <f t="shared" si="26"/>
        <v>189.23386008107849</v>
      </c>
      <c r="DO21" s="355">
        <f t="shared" ref="DO21:DO29" si="55">CS21/DE21</f>
        <v>630.77953360359493</v>
      </c>
      <c r="DP21" s="355">
        <f t="shared" ref="DP21:DP29" si="56">CT21/DF21</f>
        <v>504.62362688287595</v>
      </c>
      <c r="DQ21" s="355">
        <f t="shared" ref="DQ21:DQ29" si="57">CU21/DG21</f>
        <v>378.46772016215698</v>
      </c>
      <c r="DR21" s="355">
        <f t="shared" ref="DR21:DR29" si="58">CV21/DH21</f>
        <v>315.38976680179746</v>
      </c>
      <c r="DS21" s="355">
        <f t="shared" ref="DS21:DS29" si="59">CW21/DI21</f>
        <v>252.31181344143798</v>
      </c>
      <c r="DT21" s="355">
        <f t="shared" ref="DT21:DT29" si="60">CX21/DJ21</f>
        <v>403.69890150630079</v>
      </c>
      <c r="DU21" s="355">
        <f t="shared" ref="DU21:DU29" si="61">CY21/DK21</f>
        <v>403.69890150630079</v>
      </c>
      <c r="DV21" s="355">
        <f t="shared" ref="DV21:DV29" si="62">CZ21/DL21</f>
        <v>252.31181344143798</v>
      </c>
      <c r="DW21" s="355">
        <f t="shared" ref="DW21:DW29" si="63">DA21/DM21</f>
        <v>67.283150251050131</v>
      </c>
      <c r="DX21" s="355">
        <f t="shared" si="40"/>
        <v>3397.7990876780323</v>
      </c>
      <c r="DY21" s="351">
        <f t="shared" si="28"/>
        <v>5109.3142221891194</v>
      </c>
      <c r="DZ21" s="351">
        <f t="shared" ref="DZ21:DZ29" si="64">IF(DO21*$DC21&gt;CS21,CS21,DO21*$DC21)</f>
        <v>17031.047407297065</v>
      </c>
      <c r="EA21" s="351">
        <f t="shared" ref="EA21:EA29" si="65">IF(DP21*$DC21&gt;CT21,CT21,DP21*$DC21)</f>
        <v>5046.2362688287594</v>
      </c>
      <c r="EB21" s="351">
        <f t="shared" ref="EB21:EB29" si="66">IF(DQ21*$DC21&gt;CU21,CU21,DQ21*$DC21)</f>
        <v>7569.35440324314</v>
      </c>
      <c r="EC21" s="351">
        <f t="shared" ref="EC21:EC29" si="67">IF(DR21*$DC21&gt;CV21,CV21,DR21*$DC21)</f>
        <v>8515.5237036485323</v>
      </c>
      <c r="ED21" s="351">
        <f t="shared" ref="ED21:ED29" si="68">IF(DS21*$DC21&gt;CW21,CW21,DS21*$DC21)</f>
        <v>5046.2362688287594</v>
      </c>
      <c r="EE21" s="351">
        <f t="shared" ref="EE21:EE29" si="69">IF(DT21*$DC21&gt;CX21,CX21,DT21*$DC21)</f>
        <v>4036.9890150630076</v>
      </c>
      <c r="EF21" s="351">
        <f t="shared" ref="EF21:EF29" si="70">IF(DU21*$DC21&gt;CY21,CY21,DU21*$DC21)</f>
        <v>4036.9890150630076</v>
      </c>
      <c r="EG21" s="351">
        <f t="shared" ref="EG21:EG29" si="71">IF(DV21*$DC21&gt;CZ21,CZ21,DV21*$DC21)</f>
        <v>5046.2362688287594</v>
      </c>
      <c r="EH21" s="351">
        <f t="shared" ref="EH21:EH29" si="72">IF(DW21*$DC21&gt;DA21,DA21,DW21*$DC21)</f>
        <v>1816.6450567783536</v>
      </c>
      <c r="EI21" s="352">
        <f t="shared" si="41"/>
        <v>63254.571629768514</v>
      </c>
      <c r="EJ21" s="355">
        <f t="shared" si="30"/>
        <v>189.23386008107849</v>
      </c>
      <c r="EK21" s="355">
        <f t="shared" ref="EK21:EK29" si="73">IF(DO21&lt;(CS21-DZ21),DO21,(CS21-DZ21))</f>
        <v>630.77953360359493</v>
      </c>
      <c r="EL21" s="355">
        <f t="shared" ref="EL21:EL29" si="74">IF(DP21&lt;(CT21-EA21),DP21,(CT21-EA21))</f>
        <v>0</v>
      </c>
      <c r="EM21" s="355">
        <f t="shared" ref="EM21:EM29" si="75">IF(DQ21&lt;(CU21-EB21),DQ21,(CU21-EB21))</f>
        <v>0</v>
      </c>
      <c r="EN21" s="355">
        <f t="shared" ref="EN21:EN29" si="76">IF(DR21&lt;(CV21-EC21),DR21,(CV21-EC21))</f>
        <v>315.38976680179746</v>
      </c>
      <c r="EO21" s="355">
        <f t="shared" ref="EO21:EO29" si="77">IF(DS21&lt;(CW21-ED21),DS21,(CW21-ED21))</f>
        <v>0</v>
      </c>
      <c r="EP21" s="355">
        <f t="shared" ref="EP21:EP29" si="78">IF(DT21&lt;(CX21-EE21),DT21,(CX21-EE21))</f>
        <v>0</v>
      </c>
      <c r="EQ21" s="355">
        <f t="shared" ref="EQ21:EQ29" si="79">IF(DU21&lt;(CY21-EF21),DU21,(CY21-EF21))</f>
        <v>0</v>
      </c>
      <c r="ER21" s="355">
        <f t="shared" ref="ER21:ER29" si="80">IF(DV21&lt;(CZ21-EG21),DV21,(CZ21-EG21))</f>
        <v>0</v>
      </c>
      <c r="ES21" s="355">
        <f t="shared" ref="ES21:ES29" si="81">IF(DW21&lt;(DA21-EH21),DW21,(DA21-EH21))</f>
        <v>67.283150251050131</v>
      </c>
      <c r="ET21" s="353">
        <f t="shared" si="42"/>
        <v>1202.6863107375209</v>
      </c>
      <c r="EU21" s="356">
        <v>2005</v>
      </c>
      <c r="EV21" s="351">
        <v>40000</v>
      </c>
      <c r="EW21" s="356">
        <v>20</v>
      </c>
      <c r="EX21" s="356">
        <f t="shared" si="51"/>
        <v>17</v>
      </c>
      <c r="EY21" s="351">
        <f t="shared" si="52"/>
        <v>2000</v>
      </c>
      <c r="EZ21" s="351">
        <f t="shared" si="53"/>
        <v>34000</v>
      </c>
      <c r="FA21" s="351">
        <f t="shared" si="50"/>
        <v>2000</v>
      </c>
      <c r="FC21" s="91" t="s">
        <v>1590</v>
      </c>
    </row>
    <row r="22" spans="1:165" ht="35" customHeight="1" x14ac:dyDescent="0.3">
      <c r="A22" s="330" t="s">
        <v>1733</v>
      </c>
      <c r="B22" s="318" t="s">
        <v>1037</v>
      </c>
      <c r="C22" s="318" t="s">
        <v>72</v>
      </c>
      <c r="D22" s="318" t="s">
        <v>321</v>
      </c>
      <c r="E22" s="318" t="s">
        <v>8</v>
      </c>
      <c r="F22" s="318" t="s">
        <v>271</v>
      </c>
      <c r="G22" s="318" t="s">
        <v>724</v>
      </c>
      <c r="H22" s="318" t="s">
        <v>895</v>
      </c>
      <c r="I22" s="318" t="s">
        <v>896</v>
      </c>
      <c r="J22" s="318" t="s">
        <v>1045</v>
      </c>
      <c r="K22" s="318" t="s">
        <v>1047</v>
      </c>
      <c r="L22" s="318" t="s">
        <v>1055</v>
      </c>
      <c r="M22" s="318" t="s">
        <v>1061</v>
      </c>
      <c r="N22" s="318" t="s">
        <v>1069</v>
      </c>
      <c r="O22" s="318" t="s">
        <v>1072</v>
      </c>
      <c r="P22" s="318" t="s">
        <v>1079</v>
      </c>
      <c r="Q22" s="318" t="s">
        <v>1080</v>
      </c>
      <c r="R22" s="318" t="s">
        <v>1086</v>
      </c>
      <c r="S22" s="318" t="s">
        <v>1089</v>
      </c>
      <c r="T22" s="318" t="s">
        <v>102</v>
      </c>
      <c r="U22" s="318" t="s">
        <v>102</v>
      </c>
      <c r="V22" s="318" t="s">
        <v>102</v>
      </c>
      <c r="W22" s="318" t="s">
        <v>102</v>
      </c>
      <c r="X22" s="318" t="s">
        <v>102</v>
      </c>
      <c r="Y22" s="318" t="s">
        <v>102</v>
      </c>
      <c r="Z22" s="318" t="s">
        <v>102</v>
      </c>
      <c r="AA22" s="318" t="s">
        <v>102</v>
      </c>
      <c r="AB22" s="318" t="s">
        <v>102</v>
      </c>
      <c r="AC22" s="318" t="s">
        <v>104</v>
      </c>
      <c r="AD22" s="318" t="s">
        <v>1771</v>
      </c>
      <c r="AE22" s="318">
        <v>65</v>
      </c>
      <c r="AF22" s="318">
        <v>40</v>
      </c>
      <c r="AG22" s="318">
        <v>1995</v>
      </c>
      <c r="AH22" s="318" t="s">
        <v>800</v>
      </c>
      <c r="AI22" s="318">
        <f t="shared" si="49"/>
        <v>1995</v>
      </c>
      <c r="AJ22" s="318" t="str">
        <f t="shared" si="43"/>
        <v>Estimated</v>
      </c>
      <c r="AK22" s="318">
        <v>2005</v>
      </c>
      <c r="AL22" s="318" t="s">
        <v>985</v>
      </c>
      <c r="AM22" s="317">
        <f t="shared" si="32"/>
        <v>49108.331083422883</v>
      </c>
      <c r="AN22" s="318" t="s">
        <v>800</v>
      </c>
      <c r="AO22" s="511">
        <f t="shared" si="33"/>
        <v>40127.285814884257</v>
      </c>
      <c r="AP22" s="511">
        <f t="shared" si="34"/>
        <v>8981.0452685386263</v>
      </c>
      <c r="AQ22" s="511">
        <f t="shared" si="35"/>
        <v>1101.3431553687606</v>
      </c>
      <c r="AR22" s="511">
        <f t="shared" si="36"/>
        <v>7879.7021131698657</v>
      </c>
      <c r="AS22" s="511">
        <f>HLOOKUP($C$1,'Inflation Adjustments'!$BI$3:$BT$4,2)*CQ22</f>
        <v>150396.76640624998</v>
      </c>
      <c r="AT22" s="511">
        <f>IF(BU22="In Service",'Maintenace Cost Assumptions'!$B$3*AS22,0)</f>
        <v>751.9838320312499</v>
      </c>
      <c r="AU22" s="318">
        <v>3</v>
      </c>
      <c r="AV22" s="318">
        <v>3</v>
      </c>
      <c r="AW22" s="318">
        <v>3</v>
      </c>
      <c r="AX22" s="318">
        <v>3</v>
      </c>
      <c r="AY22" s="318">
        <v>3</v>
      </c>
      <c r="AZ22" s="318">
        <v>3</v>
      </c>
      <c r="BA22" s="318">
        <v>3</v>
      </c>
      <c r="BB22" s="318"/>
      <c r="BC22" s="318"/>
      <c r="BD22" s="318"/>
      <c r="BE22" s="318">
        <v>4</v>
      </c>
      <c r="BF22" s="318"/>
      <c r="BG22" s="332">
        <f>(AU22*'Condition rating weights'!H$8+AV22*'Condition rating weights'!I$8+AW22*'Condition rating weights'!J$8+AX22*'Condition rating weights'!K$8+AY22*'Condition rating weights'!L$8+AZ22*'Condition rating weights'!M$8+BA22*'Condition rating weights'!N$8+BB22*'Condition rating weights'!O$8+BC22*'Condition rating weights'!P$8+BD22*'Condition rating weights'!Q$8+BE22*'Condition rating weights'!R$8+BF22*'Condition rating weights'!S$8)/100</f>
        <v>0.66</v>
      </c>
      <c r="BH22" s="333">
        <v>1</v>
      </c>
      <c r="BI22" s="333">
        <v>111</v>
      </c>
      <c r="BJ22" s="333" t="s">
        <v>12</v>
      </c>
      <c r="BK22" s="333" t="s">
        <v>959</v>
      </c>
      <c r="BL22" s="333" t="s">
        <v>960</v>
      </c>
      <c r="BM22" s="333" t="s">
        <v>961</v>
      </c>
      <c r="BN22" s="333" t="s">
        <v>117</v>
      </c>
      <c r="BO22" s="333" t="s">
        <v>962</v>
      </c>
      <c r="BP22" s="333" t="s">
        <v>962</v>
      </c>
      <c r="BQ22" s="333" t="s">
        <v>978</v>
      </c>
      <c r="BR22" s="333" t="s">
        <v>964</v>
      </c>
      <c r="BS22" s="333" t="s">
        <v>964</v>
      </c>
      <c r="BT22" s="334" t="s">
        <v>965</v>
      </c>
      <c r="BU22" s="335" t="s">
        <v>1429</v>
      </c>
      <c r="BV22" s="282"/>
      <c r="BW22" s="282"/>
      <c r="BX22" s="282"/>
      <c r="BY22" s="282"/>
      <c r="BZ22" s="282"/>
      <c r="CA22" s="282"/>
      <c r="CB22" s="282"/>
      <c r="CC22" s="282"/>
      <c r="CD22" s="282"/>
      <c r="CE22" s="282"/>
      <c r="CF22" s="282"/>
      <c r="CG22" s="351">
        <f t="shared" si="5"/>
        <v>9750</v>
      </c>
      <c r="CH22" s="351">
        <f t="shared" si="6"/>
        <v>32500</v>
      </c>
      <c r="CI22" s="351">
        <f t="shared" si="7"/>
        <v>6500</v>
      </c>
      <c r="CJ22" s="351">
        <f t="shared" si="8"/>
        <v>9750</v>
      </c>
      <c r="CK22" s="351">
        <f t="shared" si="9"/>
        <v>16250</v>
      </c>
      <c r="CL22" s="351">
        <f t="shared" si="10"/>
        <v>6500</v>
      </c>
      <c r="CM22" s="351">
        <f t="shared" si="11"/>
        <v>5200</v>
      </c>
      <c r="CN22" s="351">
        <f t="shared" si="12"/>
        <v>5200</v>
      </c>
      <c r="CO22" s="351">
        <f t="shared" si="13"/>
        <v>6500</v>
      </c>
      <c r="CP22" s="351">
        <f t="shared" si="14"/>
        <v>2600</v>
      </c>
      <c r="CQ22" s="352">
        <f t="shared" si="38"/>
        <v>100750</v>
      </c>
      <c r="CR22" s="353">
        <f>(HLOOKUP($AI22,'Inflation Adjustments'!$B$3:$BT$4,2,TRUE))*CG22</f>
        <v>3784.67720162157</v>
      </c>
      <c r="CS22" s="353">
        <f>(HLOOKUP($AI22,'Inflation Adjustments'!$B$3:$BT$4,2,TRUE))*CH22</f>
        <v>12615.590672071899</v>
      </c>
      <c r="CT22" s="353">
        <f>(HLOOKUP($AI22,'Inflation Adjustments'!$B$3:$BT$4,2,TRUE))*CI22</f>
        <v>2523.1181344143797</v>
      </c>
      <c r="CU22" s="353">
        <f>(HLOOKUP($AI22,'Inflation Adjustments'!$B$3:$BT$4,2,TRUE))*CJ22</f>
        <v>3784.67720162157</v>
      </c>
      <c r="CV22" s="353">
        <f>(HLOOKUP($AI22,'Inflation Adjustments'!$B$3:$BT$4,2,TRUE))*CK22</f>
        <v>6307.7953360359497</v>
      </c>
      <c r="CW22" s="353">
        <f>(HLOOKUP($AI22,'Inflation Adjustments'!$B$3:$BT$4,2,TRUE))*CL22</f>
        <v>2523.1181344143797</v>
      </c>
      <c r="CX22" s="353">
        <f>(HLOOKUP($AI22,'Inflation Adjustments'!$B$3:$BT$4,2,TRUE))*CM22</f>
        <v>2018.4945075315038</v>
      </c>
      <c r="CY22" s="353">
        <f>(HLOOKUP($AI22,'Inflation Adjustments'!$B$3:$BT$4,2,TRUE))*CN22</f>
        <v>2018.4945075315038</v>
      </c>
      <c r="CZ22" s="353">
        <f>(HLOOKUP($AI22,'Inflation Adjustments'!$B$3:$BT$4,2,TRUE))*CO22</f>
        <v>2523.1181344143797</v>
      </c>
      <c r="DA22" s="353">
        <f>(HLOOKUP($AI22,'Inflation Adjustments'!$B$3:$BT$4,2,TRUE))*CP22</f>
        <v>1009.2472537657519</v>
      </c>
      <c r="DB22" s="353">
        <f t="shared" si="39"/>
        <v>39108.331083422883</v>
      </c>
      <c r="DC22" s="354">
        <f t="shared" si="54"/>
        <v>27</v>
      </c>
      <c r="DD22" s="351">
        <f t="shared" si="16"/>
        <v>40</v>
      </c>
      <c r="DE22" s="351">
        <f t="shared" si="17"/>
        <v>40</v>
      </c>
      <c r="DF22" s="351">
        <f t="shared" si="18"/>
        <v>10</v>
      </c>
      <c r="DG22" s="351">
        <f t="shared" si="19"/>
        <v>20</v>
      </c>
      <c r="DH22" s="351">
        <f t="shared" si="20"/>
        <v>40</v>
      </c>
      <c r="DI22" s="351">
        <f t="shared" si="21"/>
        <v>20</v>
      </c>
      <c r="DJ22" s="351">
        <f t="shared" si="22"/>
        <v>10</v>
      </c>
      <c r="DK22" s="351">
        <f t="shared" si="23"/>
        <v>10</v>
      </c>
      <c r="DL22" s="351">
        <f t="shared" si="24"/>
        <v>20</v>
      </c>
      <c r="DM22" s="351">
        <f t="shared" si="25"/>
        <v>30</v>
      </c>
      <c r="DN22" s="355">
        <f t="shared" si="26"/>
        <v>94.616930040539245</v>
      </c>
      <c r="DO22" s="355">
        <f t="shared" si="55"/>
        <v>315.38976680179746</v>
      </c>
      <c r="DP22" s="355">
        <f t="shared" si="56"/>
        <v>252.31181344143798</v>
      </c>
      <c r="DQ22" s="355">
        <f t="shared" si="57"/>
        <v>189.23386008107849</v>
      </c>
      <c r="DR22" s="355">
        <f t="shared" si="58"/>
        <v>157.69488340089873</v>
      </c>
      <c r="DS22" s="355">
        <f t="shared" si="59"/>
        <v>126.15590672071899</v>
      </c>
      <c r="DT22" s="355">
        <f t="shared" si="60"/>
        <v>201.84945075315039</v>
      </c>
      <c r="DU22" s="355">
        <f t="shared" si="61"/>
        <v>201.84945075315039</v>
      </c>
      <c r="DV22" s="355">
        <f t="shared" si="62"/>
        <v>126.15590672071899</v>
      </c>
      <c r="DW22" s="355">
        <f t="shared" si="63"/>
        <v>33.641575125525065</v>
      </c>
      <c r="DX22" s="355">
        <f t="shared" si="40"/>
        <v>1698.8995438390161</v>
      </c>
      <c r="DY22" s="351">
        <f t="shared" si="28"/>
        <v>2554.6571110945597</v>
      </c>
      <c r="DZ22" s="351">
        <f t="shared" si="64"/>
        <v>8515.5237036485323</v>
      </c>
      <c r="EA22" s="351">
        <f t="shared" si="65"/>
        <v>2523.1181344143797</v>
      </c>
      <c r="EB22" s="351">
        <f t="shared" si="66"/>
        <v>3784.67720162157</v>
      </c>
      <c r="EC22" s="351">
        <f t="shared" si="67"/>
        <v>4257.7618518242662</v>
      </c>
      <c r="ED22" s="351">
        <f t="shared" si="68"/>
        <v>2523.1181344143797</v>
      </c>
      <c r="EE22" s="351">
        <f t="shared" si="69"/>
        <v>2018.4945075315038</v>
      </c>
      <c r="EF22" s="351">
        <f t="shared" si="70"/>
        <v>2018.4945075315038</v>
      </c>
      <c r="EG22" s="351">
        <f t="shared" si="71"/>
        <v>2523.1181344143797</v>
      </c>
      <c r="EH22" s="351">
        <f t="shared" si="72"/>
        <v>908.3225283891768</v>
      </c>
      <c r="EI22" s="352">
        <f t="shared" si="41"/>
        <v>31627.285814884257</v>
      </c>
      <c r="EJ22" s="355">
        <f t="shared" si="30"/>
        <v>94.616930040539245</v>
      </c>
      <c r="EK22" s="355">
        <f t="shared" si="73"/>
        <v>315.38976680179746</v>
      </c>
      <c r="EL22" s="355">
        <f t="shared" si="74"/>
        <v>0</v>
      </c>
      <c r="EM22" s="355">
        <f t="shared" si="75"/>
        <v>0</v>
      </c>
      <c r="EN22" s="355">
        <f t="shared" si="76"/>
        <v>157.69488340089873</v>
      </c>
      <c r="EO22" s="355">
        <f t="shared" si="77"/>
        <v>0</v>
      </c>
      <c r="EP22" s="355">
        <f t="shared" si="78"/>
        <v>0</v>
      </c>
      <c r="EQ22" s="355">
        <f t="shared" si="79"/>
        <v>0</v>
      </c>
      <c r="ER22" s="355">
        <f t="shared" si="80"/>
        <v>0</v>
      </c>
      <c r="ES22" s="355">
        <f t="shared" si="81"/>
        <v>33.641575125525065</v>
      </c>
      <c r="ET22" s="353">
        <f t="shared" si="42"/>
        <v>601.34315536876045</v>
      </c>
      <c r="EU22" s="356">
        <v>2005</v>
      </c>
      <c r="EV22" s="351">
        <v>10000</v>
      </c>
      <c r="EW22" s="356">
        <v>20</v>
      </c>
      <c r="EX22" s="356">
        <f t="shared" si="51"/>
        <v>17</v>
      </c>
      <c r="EY22" s="351">
        <f t="shared" si="52"/>
        <v>500</v>
      </c>
      <c r="EZ22" s="351">
        <f t="shared" si="53"/>
        <v>8500</v>
      </c>
      <c r="FA22" s="351">
        <f t="shared" si="50"/>
        <v>500</v>
      </c>
      <c r="FC22" s="91" t="s">
        <v>1590</v>
      </c>
    </row>
    <row r="23" spans="1:165" ht="35" customHeight="1" x14ac:dyDescent="0.3">
      <c r="A23" s="330" t="s">
        <v>1734</v>
      </c>
      <c r="B23" s="318" t="s">
        <v>1037</v>
      </c>
      <c r="C23" s="318" t="s">
        <v>72</v>
      </c>
      <c r="D23" s="318" t="s">
        <v>321</v>
      </c>
      <c r="E23" s="318" t="s">
        <v>8</v>
      </c>
      <c r="F23" s="318" t="s">
        <v>271</v>
      </c>
      <c r="G23" s="318" t="s">
        <v>724</v>
      </c>
      <c r="H23" s="318" t="s">
        <v>895</v>
      </c>
      <c r="I23" s="318" t="s">
        <v>896</v>
      </c>
      <c r="J23" s="318" t="s">
        <v>1045</v>
      </c>
      <c r="K23" s="318" t="s">
        <v>1047</v>
      </c>
      <c r="L23" s="318" t="s">
        <v>1055</v>
      </c>
      <c r="M23" s="318" t="s">
        <v>1061</v>
      </c>
      <c r="N23" s="318" t="s">
        <v>1069</v>
      </c>
      <c r="O23" s="318" t="s">
        <v>1072</v>
      </c>
      <c r="P23" s="318" t="s">
        <v>1079</v>
      </c>
      <c r="Q23" s="318" t="s">
        <v>1080</v>
      </c>
      <c r="R23" s="318" t="s">
        <v>1086</v>
      </c>
      <c r="S23" s="318" t="s">
        <v>1089</v>
      </c>
      <c r="T23" s="318" t="s">
        <v>102</v>
      </c>
      <c r="U23" s="318" t="s">
        <v>102</v>
      </c>
      <c r="V23" s="318" t="s">
        <v>102</v>
      </c>
      <c r="W23" s="318" t="s">
        <v>102</v>
      </c>
      <c r="X23" s="318" t="s">
        <v>102</v>
      </c>
      <c r="Y23" s="318" t="s">
        <v>102</v>
      </c>
      <c r="Z23" s="318" t="s">
        <v>102</v>
      </c>
      <c r="AA23" s="318" t="s">
        <v>102</v>
      </c>
      <c r="AB23" s="318" t="s">
        <v>102</v>
      </c>
      <c r="AC23" s="318" t="s">
        <v>104</v>
      </c>
      <c r="AD23" s="318" t="s">
        <v>1771</v>
      </c>
      <c r="AE23" s="318">
        <v>260</v>
      </c>
      <c r="AF23" s="318">
        <v>40</v>
      </c>
      <c r="AG23" s="318">
        <v>1995</v>
      </c>
      <c r="AH23" s="318" t="s">
        <v>800</v>
      </c>
      <c r="AI23" s="318">
        <f t="shared" si="49"/>
        <v>1995</v>
      </c>
      <c r="AJ23" s="318" t="str">
        <f t="shared" si="43"/>
        <v>Estimated</v>
      </c>
      <c r="AK23" s="318">
        <v>2005</v>
      </c>
      <c r="AL23" s="318" t="s">
        <v>985</v>
      </c>
      <c r="AM23" s="317">
        <f t="shared" si="32"/>
        <v>226433.32433369153</v>
      </c>
      <c r="AN23" s="318" t="s">
        <v>800</v>
      </c>
      <c r="AO23" s="511">
        <f t="shared" si="33"/>
        <v>186009.14325953703</v>
      </c>
      <c r="AP23" s="511">
        <f t="shared" si="34"/>
        <v>40424.181074154505</v>
      </c>
      <c r="AQ23" s="511">
        <f t="shared" si="35"/>
        <v>5905.3726214750423</v>
      </c>
      <c r="AR23" s="511">
        <f t="shared" si="36"/>
        <v>34518.808452679463</v>
      </c>
      <c r="AS23" s="511">
        <f>HLOOKUP($C$1,'Inflation Adjustments'!$BI$3:$BT$4,2)*CQ23</f>
        <v>601587.06562499993</v>
      </c>
      <c r="AT23" s="511">
        <f>IF(BU23="In Service",'Maintenace Cost Assumptions'!$B$3*AS23,0)</f>
        <v>3007.9353281249996</v>
      </c>
      <c r="AU23" s="318">
        <v>3</v>
      </c>
      <c r="AV23" s="318">
        <v>3</v>
      </c>
      <c r="AW23" s="318">
        <v>2</v>
      </c>
      <c r="AX23" s="318">
        <v>3</v>
      </c>
      <c r="AY23" s="318">
        <v>2</v>
      </c>
      <c r="AZ23" s="318">
        <v>2</v>
      </c>
      <c r="BA23" s="318">
        <v>3</v>
      </c>
      <c r="BB23" s="318"/>
      <c r="BC23" s="318"/>
      <c r="BD23" s="318"/>
      <c r="BE23" s="318">
        <v>4</v>
      </c>
      <c r="BF23" s="318"/>
      <c r="BG23" s="332">
        <f>(AU23*'Condition rating weights'!H$8+AV23*'Condition rating weights'!I$8+AW23*'Condition rating weights'!J$8+AX23*'Condition rating weights'!K$8+AY23*'Condition rating weights'!L$8+AZ23*'Condition rating weights'!M$8+BA23*'Condition rating weights'!N$8+BB23*'Condition rating weights'!O$8+BC23*'Condition rating weights'!P$8+BD23*'Condition rating weights'!Q$8+BE23*'Condition rating weights'!R$8+BF23*'Condition rating weights'!S$8)/100</f>
        <v>0.63</v>
      </c>
      <c r="BH23" s="333">
        <v>1</v>
      </c>
      <c r="BI23" s="333">
        <v>111</v>
      </c>
      <c r="BJ23" s="333" t="s">
        <v>12</v>
      </c>
      <c r="BK23" s="333" t="s">
        <v>959</v>
      </c>
      <c r="BL23" s="333" t="s">
        <v>960</v>
      </c>
      <c r="BM23" s="333" t="s">
        <v>961</v>
      </c>
      <c r="BN23" s="333" t="s">
        <v>117</v>
      </c>
      <c r="BO23" s="333" t="s">
        <v>962</v>
      </c>
      <c r="BP23" s="333" t="s">
        <v>962</v>
      </c>
      <c r="BQ23" s="333" t="s">
        <v>978</v>
      </c>
      <c r="BR23" s="333" t="s">
        <v>964</v>
      </c>
      <c r="BS23" s="333" t="s">
        <v>964</v>
      </c>
      <c r="BT23" s="334" t="s">
        <v>965</v>
      </c>
      <c r="BU23" s="335" t="s">
        <v>1429</v>
      </c>
      <c r="BV23" s="282"/>
      <c r="BW23" s="282"/>
      <c r="BX23" s="282"/>
      <c r="BY23" s="282"/>
      <c r="BZ23" s="282"/>
      <c r="CA23" s="282"/>
      <c r="CB23" s="282"/>
      <c r="CC23" s="282"/>
      <c r="CD23" s="282"/>
      <c r="CE23" s="282"/>
      <c r="CF23" s="282"/>
      <c r="CG23" s="351">
        <f t="shared" si="5"/>
        <v>39000</v>
      </c>
      <c r="CH23" s="351">
        <f t="shared" si="6"/>
        <v>130000</v>
      </c>
      <c r="CI23" s="351">
        <f t="shared" si="7"/>
        <v>26000</v>
      </c>
      <c r="CJ23" s="351">
        <f t="shared" si="8"/>
        <v>39000</v>
      </c>
      <c r="CK23" s="351">
        <f t="shared" si="9"/>
        <v>65000</v>
      </c>
      <c r="CL23" s="351">
        <f t="shared" si="10"/>
        <v>26000</v>
      </c>
      <c r="CM23" s="351">
        <f t="shared" si="11"/>
        <v>20800</v>
      </c>
      <c r="CN23" s="351">
        <f t="shared" si="12"/>
        <v>20800</v>
      </c>
      <c r="CO23" s="351">
        <f t="shared" si="13"/>
        <v>26000</v>
      </c>
      <c r="CP23" s="351">
        <f t="shared" si="14"/>
        <v>10400</v>
      </c>
      <c r="CQ23" s="352">
        <f t="shared" si="38"/>
        <v>403000</v>
      </c>
      <c r="CR23" s="353">
        <f>(HLOOKUP($AI23,'Inflation Adjustments'!$B$3:$BT$4,2,TRUE))*CG23</f>
        <v>15138.70880648628</v>
      </c>
      <c r="CS23" s="353">
        <f>(HLOOKUP($AI23,'Inflation Adjustments'!$B$3:$BT$4,2,TRUE))*CH23</f>
        <v>50462.362688287598</v>
      </c>
      <c r="CT23" s="353">
        <f>(HLOOKUP($AI23,'Inflation Adjustments'!$B$3:$BT$4,2,TRUE))*CI23</f>
        <v>10092.472537657519</v>
      </c>
      <c r="CU23" s="353">
        <f>(HLOOKUP($AI23,'Inflation Adjustments'!$B$3:$BT$4,2,TRUE))*CJ23</f>
        <v>15138.70880648628</v>
      </c>
      <c r="CV23" s="353">
        <f>(HLOOKUP($AI23,'Inflation Adjustments'!$B$3:$BT$4,2,TRUE))*CK23</f>
        <v>25231.181344143799</v>
      </c>
      <c r="CW23" s="353">
        <f>(HLOOKUP($AI23,'Inflation Adjustments'!$B$3:$BT$4,2,TRUE))*CL23</f>
        <v>10092.472537657519</v>
      </c>
      <c r="CX23" s="353">
        <f>(HLOOKUP($AI23,'Inflation Adjustments'!$B$3:$BT$4,2,TRUE))*CM23</f>
        <v>8073.9780301260153</v>
      </c>
      <c r="CY23" s="353">
        <f>(HLOOKUP($AI23,'Inflation Adjustments'!$B$3:$BT$4,2,TRUE))*CN23</f>
        <v>8073.9780301260153</v>
      </c>
      <c r="CZ23" s="353">
        <f>(HLOOKUP($AI23,'Inflation Adjustments'!$B$3:$BT$4,2,TRUE))*CO23</f>
        <v>10092.472537657519</v>
      </c>
      <c r="DA23" s="353">
        <f>(HLOOKUP($AI23,'Inflation Adjustments'!$B$3:$BT$4,2,TRUE))*CP23</f>
        <v>4036.9890150630076</v>
      </c>
      <c r="DB23" s="353">
        <f t="shared" si="39"/>
        <v>156433.32433369153</v>
      </c>
      <c r="DC23" s="354">
        <f t="shared" si="54"/>
        <v>27</v>
      </c>
      <c r="DD23" s="351">
        <f t="shared" si="16"/>
        <v>40</v>
      </c>
      <c r="DE23" s="351">
        <f t="shared" si="17"/>
        <v>40</v>
      </c>
      <c r="DF23" s="351">
        <f t="shared" si="18"/>
        <v>10</v>
      </c>
      <c r="DG23" s="351">
        <f t="shared" si="19"/>
        <v>20</v>
      </c>
      <c r="DH23" s="351">
        <f t="shared" si="20"/>
        <v>40</v>
      </c>
      <c r="DI23" s="351">
        <f t="shared" si="21"/>
        <v>20</v>
      </c>
      <c r="DJ23" s="351">
        <f t="shared" si="22"/>
        <v>10</v>
      </c>
      <c r="DK23" s="351">
        <f t="shared" si="23"/>
        <v>10</v>
      </c>
      <c r="DL23" s="351">
        <f t="shared" si="24"/>
        <v>20</v>
      </c>
      <c r="DM23" s="351">
        <f t="shared" si="25"/>
        <v>30</v>
      </c>
      <c r="DN23" s="355">
        <f t="shared" si="26"/>
        <v>378.46772016215698</v>
      </c>
      <c r="DO23" s="355">
        <f t="shared" si="55"/>
        <v>1261.5590672071899</v>
      </c>
      <c r="DP23" s="355">
        <f t="shared" si="56"/>
        <v>1009.2472537657519</v>
      </c>
      <c r="DQ23" s="355">
        <f t="shared" si="57"/>
        <v>756.93544032431396</v>
      </c>
      <c r="DR23" s="355">
        <f t="shared" si="58"/>
        <v>630.77953360359493</v>
      </c>
      <c r="DS23" s="355">
        <f t="shared" si="59"/>
        <v>504.62362688287595</v>
      </c>
      <c r="DT23" s="355">
        <f t="shared" si="60"/>
        <v>807.39780301260157</v>
      </c>
      <c r="DU23" s="355">
        <f t="shared" si="61"/>
        <v>807.39780301260157</v>
      </c>
      <c r="DV23" s="355">
        <f t="shared" si="62"/>
        <v>504.62362688287595</v>
      </c>
      <c r="DW23" s="355">
        <f t="shared" si="63"/>
        <v>134.56630050210026</v>
      </c>
      <c r="DX23" s="355">
        <f t="shared" si="40"/>
        <v>6795.5981753560645</v>
      </c>
      <c r="DY23" s="351">
        <f t="shared" si="28"/>
        <v>10218.628444378239</v>
      </c>
      <c r="DZ23" s="351">
        <f t="shared" si="64"/>
        <v>34062.094814594129</v>
      </c>
      <c r="EA23" s="351">
        <f t="shared" si="65"/>
        <v>10092.472537657519</v>
      </c>
      <c r="EB23" s="351">
        <f t="shared" si="66"/>
        <v>15138.70880648628</v>
      </c>
      <c r="EC23" s="351">
        <f t="shared" si="67"/>
        <v>17031.047407297065</v>
      </c>
      <c r="ED23" s="351">
        <f t="shared" si="68"/>
        <v>10092.472537657519</v>
      </c>
      <c r="EE23" s="351">
        <f t="shared" si="69"/>
        <v>8073.9780301260153</v>
      </c>
      <c r="EF23" s="351">
        <f t="shared" si="70"/>
        <v>8073.9780301260153</v>
      </c>
      <c r="EG23" s="351">
        <f t="shared" si="71"/>
        <v>10092.472537657519</v>
      </c>
      <c r="EH23" s="351">
        <f t="shared" si="72"/>
        <v>3633.2901135567072</v>
      </c>
      <c r="EI23" s="352">
        <f t="shared" si="41"/>
        <v>126509.14325953703</v>
      </c>
      <c r="EJ23" s="355">
        <f t="shared" si="30"/>
        <v>378.46772016215698</v>
      </c>
      <c r="EK23" s="355">
        <f t="shared" si="73"/>
        <v>1261.5590672071899</v>
      </c>
      <c r="EL23" s="355">
        <f t="shared" si="74"/>
        <v>0</v>
      </c>
      <c r="EM23" s="355">
        <f t="shared" si="75"/>
        <v>0</v>
      </c>
      <c r="EN23" s="355">
        <f t="shared" si="76"/>
        <v>630.77953360359493</v>
      </c>
      <c r="EO23" s="355">
        <f t="shared" si="77"/>
        <v>0</v>
      </c>
      <c r="EP23" s="355">
        <f t="shared" si="78"/>
        <v>0</v>
      </c>
      <c r="EQ23" s="355">
        <f t="shared" si="79"/>
        <v>0</v>
      </c>
      <c r="ER23" s="355">
        <f t="shared" si="80"/>
        <v>0</v>
      </c>
      <c r="ES23" s="355">
        <f t="shared" si="81"/>
        <v>134.56630050210026</v>
      </c>
      <c r="ET23" s="353">
        <f t="shared" si="42"/>
        <v>2405.3726214750418</v>
      </c>
      <c r="EU23" s="356">
        <v>2005</v>
      </c>
      <c r="EV23" s="351">
        <v>70000</v>
      </c>
      <c r="EW23" s="356">
        <v>20</v>
      </c>
      <c r="EX23" s="356">
        <f t="shared" si="51"/>
        <v>17</v>
      </c>
      <c r="EY23" s="351">
        <f t="shared" si="52"/>
        <v>3500</v>
      </c>
      <c r="EZ23" s="351">
        <f t="shared" si="53"/>
        <v>59500</v>
      </c>
      <c r="FA23" s="351">
        <f t="shared" si="50"/>
        <v>3500</v>
      </c>
      <c r="FC23" s="582" t="s">
        <v>1605</v>
      </c>
      <c r="FD23" s="582"/>
      <c r="FE23" s="582"/>
      <c r="FF23" s="582"/>
      <c r="FG23" s="582"/>
    </row>
    <row r="24" spans="1:165" ht="47" customHeight="1" x14ac:dyDescent="0.3">
      <c r="A24" s="330" t="s">
        <v>1735</v>
      </c>
      <c r="B24" s="318" t="s">
        <v>1039</v>
      </c>
      <c r="C24" s="318" t="s">
        <v>72</v>
      </c>
      <c r="D24" s="318" t="s">
        <v>76</v>
      </c>
      <c r="E24" s="318" t="s">
        <v>8</v>
      </c>
      <c r="F24" s="318" t="s">
        <v>276</v>
      </c>
      <c r="G24" s="318" t="s">
        <v>725</v>
      </c>
      <c r="H24" s="318" t="s">
        <v>897</v>
      </c>
      <c r="I24" s="318" t="s">
        <v>898</v>
      </c>
      <c r="J24" s="318" t="s">
        <v>1045</v>
      </c>
      <c r="K24" s="318" t="s">
        <v>1048</v>
      </c>
      <c r="L24" s="318" t="s">
        <v>1055</v>
      </c>
      <c r="M24" s="318" t="s">
        <v>1059</v>
      </c>
      <c r="N24" s="318" t="s">
        <v>1069</v>
      </c>
      <c r="O24" s="318" t="s">
        <v>1072</v>
      </c>
      <c r="P24" s="318" t="s">
        <v>1079</v>
      </c>
      <c r="Q24" s="318" t="s">
        <v>1080</v>
      </c>
      <c r="R24" s="318" t="s">
        <v>1086</v>
      </c>
      <c r="S24" s="318" t="s">
        <v>1089</v>
      </c>
      <c r="T24" s="318" t="s">
        <v>102</v>
      </c>
      <c r="U24" s="318" t="s">
        <v>102</v>
      </c>
      <c r="V24" s="318" t="s">
        <v>102</v>
      </c>
      <c r="W24" s="318" t="s">
        <v>102</v>
      </c>
      <c r="X24" s="318" t="s">
        <v>102</v>
      </c>
      <c r="Y24" s="318" t="s">
        <v>102</v>
      </c>
      <c r="Z24" s="318" t="s">
        <v>102</v>
      </c>
      <c r="AA24" s="318" t="s">
        <v>102</v>
      </c>
      <c r="AB24" s="318" t="s">
        <v>102</v>
      </c>
      <c r="AC24" s="318" t="s">
        <v>104</v>
      </c>
      <c r="AD24" s="318" t="s">
        <v>1771</v>
      </c>
      <c r="AE24" s="318">
        <v>610</v>
      </c>
      <c r="AF24" s="318">
        <v>40</v>
      </c>
      <c r="AG24" s="318">
        <v>1972</v>
      </c>
      <c r="AH24" s="318" t="s">
        <v>800</v>
      </c>
      <c r="AI24" s="318">
        <f t="shared" si="49"/>
        <v>1972</v>
      </c>
      <c r="AJ24" s="318" t="str">
        <f t="shared" si="43"/>
        <v>Estimated</v>
      </c>
      <c r="AK24" s="318">
        <v>2016</v>
      </c>
      <c r="AL24" s="318" t="s">
        <v>985</v>
      </c>
      <c r="AM24" s="317">
        <f t="shared" si="32"/>
        <v>188908.31786649339</v>
      </c>
      <c r="AN24" s="318" t="s">
        <v>800</v>
      </c>
      <c r="AO24" s="511">
        <f t="shared" si="33"/>
        <v>160908.31786649339</v>
      </c>
      <c r="AP24" s="511">
        <f t="shared" si="34"/>
        <v>28000</v>
      </c>
      <c r="AQ24" s="511">
        <f t="shared" si="35"/>
        <v>2000</v>
      </c>
      <c r="AR24" s="511">
        <f t="shared" si="36"/>
        <v>26000</v>
      </c>
      <c r="AS24" s="511">
        <f>HLOOKUP($C$1,'Inflation Adjustments'!$BI$3:$BT$4,2)*CQ24</f>
        <v>1411415.8078124998</v>
      </c>
      <c r="AT24" s="511">
        <f>IF(BU24="In Service",'Maintenace Cost Assumptions'!$B$3*AS24,0)</f>
        <v>7057.0790390624989</v>
      </c>
      <c r="AU24" s="318">
        <v>3</v>
      </c>
      <c r="AV24" s="318">
        <v>3</v>
      </c>
      <c r="AW24" s="318">
        <v>2</v>
      </c>
      <c r="AX24" s="318">
        <v>3</v>
      </c>
      <c r="AY24" s="318">
        <v>2</v>
      </c>
      <c r="AZ24" s="318">
        <v>2</v>
      </c>
      <c r="BA24" s="318">
        <v>2</v>
      </c>
      <c r="BB24" s="318"/>
      <c r="BC24" s="318"/>
      <c r="BD24" s="318"/>
      <c r="BE24" s="318">
        <v>3</v>
      </c>
      <c r="BF24" s="318"/>
      <c r="BG24" s="332">
        <f>(AU24*'Condition rating weights'!H$8+AV24*'Condition rating weights'!I$8+AW24*'Condition rating weights'!J$8+AX24*'Condition rating weights'!K$8+AY24*'Condition rating weights'!L$8+AZ24*'Condition rating weights'!M$8+BA24*'Condition rating weights'!N$8+BB24*'Condition rating weights'!O$8+BC24*'Condition rating weights'!P$8+BD24*'Condition rating weights'!Q$8+BE24*'Condition rating weights'!R$8+BF24*'Condition rating weights'!S$8)/100</f>
        <v>0.55000000000000004</v>
      </c>
      <c r="BH24" s="333">
        <v>1</v>
      </c>
      <c r="BI24" s="333">
        <v>111</v>
      </c>
      <c r="BJ24" s="333" t="s">
        <v>12</v>
      </c>
      <c r="BK24" s="333" t="s">
        <v>959</v>
      </c>
      <c r="BL24" s="333" t="s">
        <v>960</v>
      </c>
      <c r="BM24" s="333" t="s">
        <v>961</v>
      </c>
      <c r="BN24" s="333" t="s">
        <v>117</v>
      </c>
      <c r="BO24" s="333" t="s">
        <v>962</v>
      </c>
      <c r="BP24" s="333" t="s">
        <v>962</v>
      </c>
      <c r="BQ24" s="333" t="s">
        <v>978</v>
      </c>
      <c r="BR24" s="333" t="s">
        <v>964</v>
      </c>
      <c r="BS24" s="333" t="s">
        <v>964</v>
      </c>
      <c r="BT24" s="334" t="s">
        <v>965</v>
      </c>
      <c r="BU24" s="335" t="s">
        <v>1429</v>
      </c>
      <c r="BV24" s="282"/>
      <c r="BW24" s="282"/>
      <c r="BX24" s="282"/>
      <c r="BY24" s="282"/>
      <c r="BZ24" s="282"/>
      <c r="CA24" s="282"/>
      <c r="CB24" s="282"/>
      <c r="CC24" s="282"/>
      <c r="CD24" s="282"/>
      <c r="CE24" s="282"/>
      <c r="CF24" s="282"/>
      <c r="CG24" s="351">
        <f t="shared" si="5"/>
        <v>91500</v>
      </c>
      <c r="CH24" s="351">
        <f t="shared" si="6"/>
        <v>305000</v>
      </c>
      <c r="CI24" s="351">
        <f t="shared" si="7"/>
        <v>61000</v>
      </c>
      <c r="CJ24" s="351">
        <f t="shared" si="8"/>
        <v>91500</v>
      </c>
      <c r="CK24" s="351">
        <f t="shared" si="9"/>
        <v>152500</v>
      </c>
      <c r="CL24" s="351">
        <f t="shared" si="10"/>
        <v>61000</v>
      </c>
      <c r="CM24" s="351">
        <f t="shared" si="11"/>
        <v>48800</v>
      </c>
      <c r="CN24" s="351">
        <f t="shared" si="12"/>
        <v>48800</v>
      </c>
      <c r="CO24" s="351">
        <f t="shared" si="13"/>
        <v>61000</v>
      </c>
      <c r="CP24" s="351">
        <f t="shared" si="14"/>
        <v>24400</v>
      </c>
      <c r="CQ24" s="352">
        <f t="shared" si="38"/>
        <v>945500</v>
      </c>
      <c r="CR24" s="353">
        <f>(HLOOKUP($AI24,'Inflation Adjustments'!$B$3:$BT$4,2,TRUE))*CG24</f>
        <v>14410.482374176781</v>
      </c>
      <c r="CS24" s="353">
        <f>(HLOOKUP($AI24,'Inflation Adjustments'!$B$3:$BT$4,2,TRUE))*CH24</f>
        <v>48034.941247255934</v>
      </c>
      <c r="CT24" s="353">
        <f>(HLOOKUP($AI24,'Inflation Adjustments'!$B$3:$BT$4,2,TRUE))*CI24</f>
        <v>9606.9882494511876</v>
      </c>
      <c r="CU24" s="353">
        <f>(HLOOKUP($AI24,'Inflation Adjustments'!$B$3:$BT$4,2,TRUE))*CJ24</f>
        <v>14410.482374176781</v>
      </c>
      <c r="CV24" s="353">
        <f>(HLOOKUP($AI24,'Inflation Adjustments'!$B$3:$BT$4,2,TRUE))*CK24</f>
        <v>24017.470623627967</v>
      </c>
      <c r="CW24" s="353">
        <f>(HLOOKUP($AI24,'Inflation Adjustments'!$B$3:$BT$4,2,TRUE))*CL24</f>
        <v>9606.9882494511876</v>
      </c>
      <c r="CX24" s="353">
        <f>(HLOOKUP($AI24,'Inflation Adjustments'!$B$3:$BT$4,2,TRUE))*CM24</f>
        <v>7685.5905995609501</v>
      </c>
      <c r="CY24" s="353">
        <f>(HLOOKUP($AI24,'Inflation Adjustments'!$B$3:$BT$4,2,TRUE))*CN24</f>
        <v>7685.5905995609501</v>
      </c>
      <c r="CZ24" s="353">
        <f>(HLOOKUP($AI24,'Inflation Adjustments'!$B$3:$BT$4,2,TRUE))*CO24</f>
        <v>9606.9882494511876</v>
      </c>
      <c r="DA24" s="353">
        <f>(HLOOKUP($AI24,'Inflation Adjustments'!$B$3:$BT$4,2,TRUE))*CP24</f>
        <v>3842.795299780475</v>
      </c>
      <c r="DB24" s="353">
        <f t="shared" si="39"/>
        <v>148908.31786649339</v>
      </c>
      <c r="DC24" s="354">
        <f t="shared" si="54"/>
        <v>50</v>
      </c>
      <c r="DD24" s="351">
        <f t="shared" si="16"/>
        <v>40</v>
      </c>
      <c r="DE24" s="351">
        <f t="shared" si="17"/>
        <v>40</v>
      </c>
      <c r="DF24" s="351">
        <f t="shared" si="18"/>
        <v>10</v>
      </c>
      <c r="DG24" s="351">
        <f t="shared" si="19"/>
        <v>20</v>
      </c>
      <c r="DH24" s="351">
        <f t="shared" si="20"/>
        <v>40</v>
      </c>
      <c r="DI24" s="351">
        <f t="shared" si="21"/>
        <v>20</v>
      </c>
      <c r="DJ24" s="351">
        <f t="shared" si="22"/>
        <v>10</v>
      </c>
      <c r="DK24" s="351">
        <f t="shared" si="23"/>
        <v>10</v>
      </c>
      <c r="DL24" s="351">
        <f t="shared" si="24"/>
        <v>20</v>
      </c>
      <c r="DM24" s="351">
        <f t="shared" si="25"/>
        <v>30</v>
      </c>
      <c r="DN24" s="355">
        <f t="shared" si="26"/>
        <v>360.26205935441953</v>
      </c>
      <c r="DO24" s="355">
        <f t="shared" si="55"/>
        <v>1200.8735311813984</v>
      </c>
      <c r="DP24" s="355">
        <f t="shared" si="56"/>
        <v>960.69882494511876</v>
      </c>
      <c r="DQ24" s="355">
        <f t="shared" si="57"/>
        <v>720.52411870883907</v>
      </c>
      <c r="DR24" s="355">
        <f t="shared" si="58"/>
        <v>600.43676559069922</v>
      </c>
      <c r="DS24" s="355">
        <f t="shared" si="59"/>
        <v>480.34941247255938</v>
      </c>
      <c r="DT24" s="355">
        <f t="shared" si="60"/>
        <v>768.55905995609498</v>
      </c>
      <c r="DU24" s="355">
        <f t="shared" si="61"/>
        <v>768.55905995609498</v>
      </c>
      <c r="DV24" s="355">
        <f t="shared" si="62"/>
        <v>480.34941247255938</v>
      </c>
      <c r="DW24" s="355">
        <f t="shared" si="63"/>
        <v>128.09317665934915</v>
      </c>
      <c r="DX24" s="355">
        <f t="shared" si="40"/>
        <v>6468.7054212971325</v>
      </c>
      <c r="DY24" s="351">
        <f t="shared" si="28"/>
        <v>14410.482374176781</v>
      </c>
      <c r="DZ24" s="351">
        <f t="shared" si="64"/>
        <v>48034.941247255934</v>
      </c>
      <c r="EA24" s="351">
        <f t="shared" si="65"/>
        <v>9606.9882494511876</v>
      </c>
      <c r="EB24" s="351">
        <f t="shared" si="66"/>
        <v>14410.482374176781</v>
      </c>
      <c r="EC24" s="351">
        <f t="shared" si="67"/>
        <v>24017.470623627967</v>
      </c>
      <c r="ED24" s="351">
        <f t="shared" si="68"/>
        <v>9606.9882494511876</v>
      </c>
      <c r="EE24" s="351">
        <f t="shared" si="69"/>
        <v>7685.5905995609501</v>
      </c>
      <c r="EF24" s="351">
        <f t="shared" si="70"/>
        <v>7685.5905995609501</v>
      </c>
      <c r="EG24" s="351">
        <f t="shared" si="71"/>
        <v>9606.9882494511876</v>
      </c>
      <c r="EH24" s="351">
        <f t="shared" si="72"/>
        <v>3842.795299780475</v>
      </c>
      <c r="EI24" s="352">
        <f t="shared" si="41"/>
        <v>148908.31786649339</v>
      </c>
      <c r="EJ24" s="355">
        <f t="shared" si="30"/>
        <v>0</v>
      </c>
      <c r="EK24" s="355">
        <f t="shared" si="73"/>
        <v>0</v>
      </c>
      <c r="EL24" s="355">
        <f t="shared" si="74"/>
        <v>0</v>
      </c>
      <c r="EM24" s="355">
        <f t="shared" si="75"/>
        <v>0</v>
      </c>
      <c r="EN24" s="355">
        <f t="shared" si="76"/>
        <v>0</v>
      </c>
      <c r="EO24" s="355">
        <f t="shared" si="77"/>
        <v>0</v>
      </c>
      <c r="EP24" s="355">
        <f t="shared" si="78"/>
        <v>0</v>
      </c>
      <c r="EQ24" s="355">
        <f t="shared" si="79"/>
        <v>0</v>
      </c>
      <c r="ER24" s="355">
        <f t="shared" si="80"/>
        <v>0</v>
      </c>
      <c r="ES24" s="355">
        <f t="shared" si="81"/>
        <v>0</v>
      </c>
      <c r="ET24" s="353">
        <f t="shared" si="42"/>
        <v>0</v>
      </c>
      <c r="EU24" s="356">
        <v>2016</v>
      </c>
      <c r="EV24" s="351">
        <v>40000</v>
      </c>
      <c r="EW24" s="356">
        <v>20</v>
      </c>
      <c r="EX24" s="358">
        <f t="shared" si="51"/>
        <v>6</v>
      </c>
      <c r="EY24" s="358">
        <f t="shared" si="52"/>
        <v>2000</v>
      </c>
      <c r="EZ24" s="358">
        <f t="shared" si="53"/>
        <v>12000</v>
      </c>
      <c r="FA24" s="351">
        <f t="shared" si="50"/>
        <v>2000</v>
      </c>
      <c r="FC24" s="583" t="s">
        <v>1606</v>
      </c>
      <c r="FD24" s="583"/>
      <c r="FE24" s="583"/>
      <c r="FF24" s="583"/>
      <c r="FG24" s="583"/>
    </row>
    <row r="25" spans="1:165" ht="35" customHeight="1" x14ac:dyDescent="0.3">
      <c r="A25" s="330" t="s">
        <v>1736</v>
      </c>
      <c r="B25" s="318" t="s">
        <v>876</v>
      </c>
      <c r="C25" s="318" t="s">
        <v>72</v>
      </c>
      <c r="D25" s="318" t="s">
        <v>76</v>
      </c>
      <c r="E25" s="318" t="s">
        <v>8</v>
      </c>
      <c r="F25" s="318" t="s">
        <v>271</v>
      </c>
      <c r="G25" s="318" t="s">
        <v>725</v>
      </c>
      <c r="H25" s="318" t="s">
        <v>897</v>
      </c>
      <c r="I25" s="318" t="s">
        <v>898</v>
      </c>
      <c r="J25" s="318" t="s">
        <v>1045</v>
      </c>
      <c r="K25" s="318" t="s">
        <v>1047</v>
      </c>
      <c r="L25" s="318" t="s">
        <v>1055</v>
      </c>
      <c r="M25" s="318" t="s">
        <v>1060</v>
      </c>
      <c r="N25" s="318" t="s">
        <v>1069</v>
      </c>
      <c r="O25" s="318" t="s">
        <v>1072</v>
      </c>
      <c r="P25" s="318" t="s">
        <v>1079</v>
      </c>
      <c r="Q25" s="318" t="s">
        <v>1080</v>
      </c>
      <c r="R25" s="318" t="s">
        <v>1086</v>
      </c>
      <c r="S25" s="318" t="s">
        <v>1089</v>
      </c>
      <c r="T25" s="318" t="s">
        <v>102</v>
      </c>
      <c r="U25" s="318" t="s">
        <v>102</v>
      </c>
      <c r="V25" s="318" t="s">
        <v>102</v>
      </c>
      <c r="W25" s="318" t="s">
        <v>102</v>
      </c>
      <c r="X25" s="318" t="s">
        <v>102</v>
      </c>
      <c r="Y25" s="318" t="s">
        <v>102</v>
      </c>
      <c r="Z25" s="318" t="s">
        <v>102</v>
      </c>
      <c r="AA25" s="318" t="s">
        <v>102</v>
      </c>
      <c r="AB25" s="318" t="s">
        <v>102</v>
      </c>
      <c r="AC25" s="318" t="s">
        <v>104</v>
      </c>
      <c r="AD25" s="318" t="s">
        <v>1771</v>
      </c>
      <c r="AE25" s="318">
        <v>190</v>
      </c>
      <c r="AF25" s="318">
        <v>40</v>
      </c>
      <c r="AG25" s="318">
        <v>2005</v>
      </c>
      <c r="AH25" s="318" t="s">
        <v>800</v>
      </c>
      <c r="AI25" s="318">
        <f t="shared" si="49"/>
        <v>2005</v>
      </c>
      <c r="AJ25" s="318" t="str">
        <f t="shared" si="43"/>
        <v>Estimated</v>
      </c>
      <c r="AK25" s="318"/>
      <c r="AL25" s="318"/>
      <c r="AM25" s="317">
        <f t="shared" si="32"/>
        <v>159274.19001047988</v>
      </c>
      <c r="AN25" s="318" t="s">
        <v>800</v>
      </c>
      <c r="AO25" s="511">
        <f t="shared" si="33"/>
        <v>98921.26037640126</v>
      </c>
      <c r="AP25" s="511">
        <f t="shared" si="34"/>
        <v>60352.929634078624</v>
      </c>
      <c r="AQ25" s="511">
        <f t="shared" si="35"/>
        <v>4247.3117336127962</v>
      </c>
      <c r="AR25" s="511">
        <f t="shared" si="36"/>
        <v>56105.617900465826</v>
      </c>
      <c r="AS25" s="511">
        <f>HLOOKUP($C$1,'Inflation Adjustments'!$BI$3:$BT$4,2)*CQ25</f>
        <v>439621.31718749995</v>
      </c>
      <c r="AT25" s="511">
        <f>IF(BU25="In Service",'Maintenace Cost Assumptions'!$B$3*AS25,0)</f>
        <v>2198.1065859374999</v>
      </c>
      <c r="AU25" s="318">
        <v>3</v>
      </c>
      <c r="AV25" s="318">
        <v>3</v>
      </c>
      <c r="AW25" s="318">
        <v>3</v>
      </c>
      <c r="AX25" s="318">
        <v>3</v>
      </c>
      <c r="AY25" s="318">
        <v>3</v>
      </c>
      <c r="AZ25" s="318">
        <v>3</v>
      </c>
      <c r="BA25" s="318">
        <v>3</v>
      </c>
      <c r="BB25" s="318"/>
      <c r="BC25" s="318"/>
      <c r="BD25" s="318"/>
      <c r="BE25" s="318">
        <v>3</v>
      </c>
      <c r="BF25" s="318"/>
      <c r="BG25" s="332">
        <f>(AU25*'Condition rating weights'!H$8+AV25*'Condition rating weights'!I$8+AW25*'Condition rating weights'!J$8+AX25*'Condition rating weights'!K$8+AY25*'Condition rating weights'!L$8+AZ25*'Condition rating weights'!M$8+BA25*'Condition rating weights'!N$8+BB25*'Condition rating weights'!O$8+BC25*'Condition rating weights'!P$8+BD25*'Condition rating weights'!Q$8+BE25*'Condition rating weights'!R$8+BF25*'Condition rating weights'!S$8)/100</f>
        <v>0.6</v>
      </c>
      <c r="BH25" s="333">
        <v>1</v>
      </c>
      <c r="BI25" s="333">
        <v>111</v>
      </c>
      <c r="BJ25" s="333" t="s">
        <v>12</v>
      </c>
      <c r="BK25" s="333" t="s">
        <v>959</v>
      </c>
      <c r="BL25" s="333" t="s">
        <v>960</v>
      </c>
      <c r="BM25" s="333" t="s">
        <v>961</v>
      </c>
      <c r="BN25" s="333" t="s">
        <v>117</v>
      </c>
      <c r="BO25" s="333" t="s">
        <v>962</v>
      </c>
      <c r="BP25" s="333" t="s">
        <v>962</v>
      </c>
      <c r="BQ25" s="333" t="s">
        <v>978</v>
      </c>
      <c r="BR25" s="333" t="s">
        <v>964</v>
      </c>
      <c r="BS25" s="333" t="s">
        <v>964</v>
      </c>
      <c r="BT25" s="334" t="s">
        <v>965</v>
      </c>
      <c r="BU25" s="335" t="s">
        <v>1429</v>
      </c>
      <c r="BV25" s="282"/>
      <c r="BW25" s="282"/>
      <c r="BX25" s="282"/>
      <c r="BY25" s="282"/>
      <c r="BZ25" s="282"/>
      <c r="CA25" s="282"/>
      <c r="CB25" s="282"/>
      <c r="CC25" s="282"/>
      <c r="CD25" s="282"/>
      <c r="CE25" s="282"/>
      <c r="CF25" s="282"/>
      <c r="CG25" s="351">
        <f t="shared" si="5"/>
        <v>28500</v>
      </c>
      <c r="CH25" s="351">
        <f t="shared" si="6"/>
        <v>95000</v>
      </c>
      <c r="CI25" s="351">
        <f t="shared" si="7"/>
        <v>19000</v>
      </c>
      <c r="CJ25" s="351">
        <f t="shared" si="8"/>
        <v>28500</v>
      </c>
      <c r="CK25" s="351">
        <f t="shared" si="9"/>
        <v>47500</v>
      </c>
      <c r="CL25" s="351">
        <f t="shared" si="10"/>
        <v>19000</v>
      </c>
      <c r="CM25" s="351">
        <f t="shared" si="11"/>
        <v>15200</v>
      </c>
      <c r="CN25" s="351">
        <f t="shared" si="12"/>
        <v>15200</v>
      </c>
      <c r="CO25" s="351">
        <f t="shared" si="13"/>
        <v>19000</v>
      </c>
      <c r="CP25" s="351">
        <f t="shared" si="14"/>
        <v>7600</v>
      </c>
      <c r="CQ25" s="352">
        <f t="shared" si="38"/>
        <v>294500</v>
      </c>
      <c r="CR25" s="353">
        <f>(HLOOKUP($AI25,'Inflation Adjustments'!$B$3:$BT$4,2,TRUE))*CG25</f>
        <v>15413.631291336762</v>
      </c>
      <c r="CS25" s="353">
        <f>(HLOOKUP($AI25,'Inflation Adjustments'!$B$3:$BT$4,2,TRUE))*CH25</f>
        <v>51378.77097112254</v>
      </c>
      <c r="CT25" s="353">
        <f>(HLOOKUP($AI25,'Inflation Adjustments'!$B$3:$BT$4,2,TRUE))*CI25</f>
        <v>10275.754194224508</v>
      </c>
      <c r="CU25" s="353">
        <f>(HLOOKUP($AI25,'Inflation Adjustments'!$B$3:$BT$4,2,TRUE))*CJ25</f>
        <v>15413.631291336762</v>
      </c>
      <c r="CV25" s="353">
        <f>(HLOOKUP($AI25,'Inflation Adjustments'!$B$3:$BT$4,2,TRUE))*CK25</f>
        <v>25689.38548556127</v>
      </c>
      <c r="CW25" s="353">
        <f>(HLOOKUP($AI25,'Inflation Adjustments'!$B$3:$BT$4,2,TRUE))*CL25</f>
        <v>10275.754194224508</v>
      </c>
      <c r="CX25" s="353">
        <f>(HLOOKUP($AI25,'Inflation Adjustments'!$B$3:$BT$4,2,TRUE))*CM25</f>
        <v>8220.603355379606</v>
      </c>
      <c r="CY25" s="353">
        <f>(HLOOKUP($AI25,'Inflation Adjustments'!$B$3:$BT$4,2,TRUE))*CN25</f>
        <v>8220.603355379606</v>
      </c>
      <c r="CZ25" s="353">
        <f>(HLOOKUP($AI25,'Inflation Adjustments'!$B$3:$BT$4,2,TRUE))*CO25</f>
        <v>10275.754194224508</v>
      </c>
      <c r="DA25" s="353">
        <f>(HLOOKUP($AI25,'Inflation Adjustments'!$B$3:$BT$4,2,TRUE))*CP25</f>
        <v>4110.301677689803</v>
      </c>
      <c r="DB25" s="353">
        <f t="shared" si="39"/>
        <v>159274.19001047988</v>
      </c>
      <c r="DC25" s="354">
        <f t="shared" si="54"/>
        <v>17</v>
      </c>
      <c r="DD25" s="351">
        <f t="shared" si="16"/>
        <v>40</v>
      </c>
      <c r="DE25" s="351">
        <f t="shared" si="17"/>
        <v>40</v>
      </c>
      <c r="DF25" s="351">
        <f t="shared" si="18"/>
        <v>10</v>
      </c>
      <c r="DG25" s="351">
        <f t="shared" si="19"/>
        <v>20</v>
      </c>
      <c r="DH25" s="351">
        <f t="shared" si="20"/>
        <v>40</v>
      </c>
      <c r="DI25" s="351">
        <f t="shared" si="21"/>
        <v>20</v>
      </c>
      <c r="DJ25" s="351">
        <f t="shared" si="22"/>
        <v>10</v>
      </c>
      <c r="DK25" s="351">
        <f t="shared" si="23"/>
        <v>10</v>
      </c>
      <c r="DL25" s="351">
        <f t="shared" si="24"/>
        <v>20</v>
      </c>
      <c r="DM25" s="351">
        <f t="shared" si="25"/>
        <v>30</v>
      </c>
      <c r="DN25" s="355">
        <f t="shared" si="26"/>
        <v>385.34078228341906</v>
      </c>
      <c r="DO25" s="355">
        <f t="shared" si="55"/>
        <v>1284.4692742780635</v>
      </c>
      <c r="DP25" s="355">
        <f t="shared" si="56"/>
        <v>1027.5754194224508</v>
      </c>
      <c r="DQ25" s="355">
        <f t="shared" si="57"/>
        <v>770.68156456683812</v>
      </c>
      <c r="DR25" s="355">
        <f t="shared" si="58"/>
        <v>642.23463713903175</v>
      </c>
      <c r="DS25" s="355">
        <f t="shared" si="59"/>
        <v>513.78770971122538</v>
      </c>
      <c r="DT25" s="355">
        <f t="shared" si="60"/>
        <v>822.06033553796055</v>
      </c>
      <c r="DU25" s="355">
        <f t="shared" si="61"/>
        <v>822.06033553796055</v>
      </c>
      <c r="DV25" s="355">
        <f t="shared" si="62"/>
        <v>513.78770971122538</v>
      </c>
      <c r="DW25" s="355">
        <f t="shared" si="63"/>
        <v>137.01005592299344</v>
      </c>
      <c r="DX25" s="355">
        <f t="shared" si="40"/>
        <v>6919.0078241111678</v>
      </c>
      <c r="DY25" s="351">
        <f t="shared" si="28"/>
        <v>6550.7932988181237</v>
      </c>
      <c r="DZ25" s="351">
        <f t="shared" si="64"/>
        <v>21835.97766272708</v>
      </c>
      <c r="EA25" s="351">
        <f t="shared" si="65"/>
        <v>10275.754194224508</v>
      </c>
      <c r="EB25" s="351">
        <f t="shared" si="66"/>
        <v>13101.586597636247</v>
      </c>
      <c r="EC25" s="351">
        <f t="shared" si="67"/>
        <v>10917.98883136354</v>
      </c>
      <c r="ED25" s="351">
        <f t="shared" si="68"/>
        <v>8734.391065090831</v>
      </c>
      <c r="EE25" s="351">
        <f t="shared" si="69"/>
        <v>8220.603355379606</v>
      </c>
      <c r="EF25" s="351">
        <f t="shared" si="70"/>
        <v>8220.603355379606</v>
      </c>
      <c r="EG25" s="351">
        <f t="shared" si="71"/>
        <v>8734.391065090831</v>
      </c>
      <c r="EH25" s="351">
        <f t="shared" si="72"/>
        <v>2329.1709506908887</v>
      </c>
      <c r="EI25" s="352">
        <f t="shared" si="41"/>
        <v>98921.26037640126</v>
      </c>
      <c r="EJ25" s="355">
        <f t="shared" si="30"/>
        <v>385.34078228341906</v>
      </c>
      <c r="EK25" s="355">
        <f t="shared" si="73"/>
        <v>1284.4692742780635</v>
      </c>
      <c r="EL25" s="355">
        <f t="shared" si="74"/>
        <v>0</v>
      </c>
      <c r="EM25" s="355">
        <f t="shared" si="75"/>
        <v>770.68156456683812</v>
      </c>
      <c r="EN25" s="355">
        <f t="shared" si="76"/>
        <v>642.23463713903175</v>
      </c>
      <c r="EO25" s="355">
        <f t="shared" si="77"/>
        <v>513.78770971122538</v>
      </c>
      <c r="EP25" s="355">
        <f t="shared" si="78"/>
        <v>0</v>
      </c>
      <c r="EQ25" s="355">
        <f t="shared" si="79"/>
        <v>0</v>
      </c>
      <c r="ER25" s="355">
        <f t="shared" si="80"/>
        <v>513.78770971122538</v>
      </c>
      <c r="ES25" s="355">
        <f t="shared" si="81"/>
        <v>137.01005592299344</v>
      </c>
      <c r="ET25" s="353">
        <f t="shared" si="42"/>
        <v>4247.3117336127962</v>
      </c>
      <c r="EU25" s="358"/>
      <c r="EV25" s="358"/>
      <c r="EW25" s="358"/>
      <c r="EX25" s="358"/>
      <c r="EY25" s="358"/>
      <c r="EZ25" s="358"/>
      <c r="FA25" s="358"/>
      <c r="FC25" s="282" t="s">
        <v>1582</v>
      </c>
    </row>
    <row r="26" spans="1:165" ht="35" customHeight="1" x14ac:dyDescent="0.3">
      <c r="A26" s="330" t="s">
        <v>1737</v>
      </c>
      <c r="B26" s="318" t="s">
        <v>1607</v>
      </c>
      <c r="C26" s="318" t="s">
        <v>72</v>
      </c>
      <c r="D26" s="318" t="s">
        <v>76</v>
      </c>
      <c r="E26" s="318" t="s">
        <v>8</v>
      </c>
      <c r="F26" s="318" t="s">
        <v>271</v>
      </c>
      <c r="G26" s="318" t="s">
        <v>719</v>
      </c>
      <c r="H26" s="318" t="s">
        <v>899</v>
      </c>
      <c r="I26" s="318" t="s">
        <v>900</v>
      </c>
      <c r="J26" s="318" t="s">
        <v>1045</v>
      </c>
      <c r="K26" s="318" t="s">
        <v>1047</v>
      </c>
      <c r="L26" s="318" t="s">
        <v>1055</v>
      </c>
      <c r="M26" s="318" t="s">
        <v>1061</v>
      </c>
      <c r="N26" s="318" t="s">
        <v>1069</v>
      </c>
      <c r="O26" s="318" t="s">
        <v>1072</v>
      </c>
      <c r="P26" s="318" t="s">
        <v>1079</v>
      </c>
      <c r="Q26" s="318" t="s">
        <v>1080</v>
      </c>
      <c r="R26" s="318" t="s">
        <v>955</v>
      </c>
      <c r="S26" s="318" t="s">
        <v>1090</v>
      </c>
      <c r="T26" s="318" t="s">
        <v>102</v>
      </c>
      <c r="U26" s="318" t="s">
        <v>102</v>
      </c>
      <c r="V26" s="318" t="s">
        <v>102</v>
      </c>
      <c r="W26" s="318" t="s">
        <v>102</v>
      </c>
      <c r="X26" s="318" t="s">
        <v>102</v>
      </c>
      <c r="Y26" s="318" t="s">
        <v>102</v>
      </c>
      <c r="Z26" s="318" t="s">
        <v>102</v>
      </c>
      <c r="AA26" s="318" t="s">
        <v>102</v>
      </c>
      <c r="AB26" s="318" t="s">
        <v>102</v>
      </c>
      <c r="AC26" s="318" t="s">
        <v>104</v>
      </c>
      <c r="AD26" s="318" t="s">
        <v>1771</v>
      </c>
      <c r="AE26" s="318">
        <v>465</v>
      </c>
      <c r="AF26" s="318">
        <v>40</v>
      </c>
      <c r="AG26" s="318">
        <v>1972</v>
      </c>
      <c r="AH26" s="318" t="s">
        <v>800</v>
      </c>
      <c r="AI26" s="318">
        <f t="shared" si="49"/>
        <v>1972</v>
      </c>
      <c r="AJ26" s="318" t="str">
        <f t="shared" si="43"/>
        <v>Estimated</v>
      </c>
      <c r="AK26" s="318">
        <v>2018</v>
      </c>
      <c r="AL26" s="362">
        <v>70000</v>
      </c>
      <c r="AM26" s="317">
        <f t="shared" si="32"/>
        <v>183512.07837363842</v>
      </c>
      <c r="AN26" s="318" t="s">
        <v>800</v>
      </c>
      <c r="AO26" s="511">
        <f t="shared" si="33"/>
        <v>127512.07837363842</v>
      </c>
      <c r="AP26" s="511">
        <f t="shared" si="34"/>
        <v>56000</v>
      </c>
      <c r="AQ26" s="511">
        <f t="shared" si="35"/>
        <v>3500</v>
      </c>
      <c r="AR26" s="511">
        <f t="shared" si="36"/>
        <v>52500</v>
      </c>
      <c r="AS26" s="511">
        <f>HLOOKUP($C$1,'Inflation Adjustments'!$BI$3:$BT$4,2)*CQ26</f>
        <v>1075915.32890625</v>
      </c>
      <c r="AT26" s="511">
        <f>IF(BU26="In Service",'Maintenace Cost Assumptions'!$B$3*AS26,0)</f>
        <v>5379.5766445312502</v>
      </c>
      <c r="AU26" s="318">
        <v>3</v>
      </c>
      <c r="AV26" s="318">
        <v>3</v>
      </c>
      <c r="AW26" s="318">
        <v>2</v>
      </c>
      <c r="AX26" s="318">
        <v>3</v>
      </c>
      <c r="AY26" s="318">
        <v>3</v>
      </c>
      <c r="AZ26" s="318">
        <v>2</v>
      </c>
      <c r="BA26" s="318">
        <v>2</v>
      </c>
      <c r="BB26" s="318"/>
      <c r="BC26" s="318"/>
      <c r="BD26" s="318"/>
      <c r="BE26" s="318">
        <v>3</v>
      </c>
      <c r="BF26" s="318"/>
      <c r="BG26" s="332">
        <f>(AU26*'Condition rating weights'!H$8+AV26*'Condition rating weights'!I$8+AW26*'Condition rating weights'!J$8+AX26*'Condition rating weights'!K$8+AY26*'Condition rating weights'!L$8+AZ26*'Condition rating weights'!M$8+BA26*'Condition rating weights'!N$8+BB26*'Condition rating weights'!O$8+BC26*'Condition rating weights'!P$8+BD26*'Condition rating weights'!Q$8+BE26*'Condition rating weights'!R$8+BF26*'Condition rating weights'!S$8)/100</f>
        <v>0.56000000000000005</v>
      </c>
      <c r="BH26" s="333">
        <v>1</v>
      </c>
      <c r="BI26" s="333">
        <v>111</v>
      </c>
      <c r="BJ26" s="333" t="s">
        <v>12</v>
      </c>
      <c r="BK26" s="333" t="s">
        <v>959</v>
      </c>
      <c r="BL26" s="333" t="s">
        <v>960</v>
      </c>
      <c r="BM26" s="333" t="s">
        <v>961</v>
      </c>
      <c r="BN26" s="333" t="s">
        <v>117</v>
      </c>
      <c r="BO26" s="333" t="s">
        <v>962</v>
      </c>
      <c r="BP26" s="333" t="s">
        <v>962</v>
      </c>
      <c r="BQ26" s="333" t="s">
        <v>978</v>
      </c>
      <c r="BR26" s="333" t="s">
        <v>964</v>
      </c>
      <c r="BS26" s="333" t="s">
        <v>964</v>
      </c>
      <c r="BT26" s="334" t="s">
        <v>965</v>
      </c>
      <c r="BU26" s="335" t="s">
        <v>1429</v>
      </c>
      <c r="BV26" s="282"/>
      <c r="BX26" s="282"/>
      <c r="BY26" s="282"/>
      <c r="BZ26" s="282"/>
      <c r="CA26" s="282"/>
      <c r="CB26" s="282"/>
      <c r="CC26" s="282"/>
      <c r="CD26" s="282"/>
      <c r="CE26" s="282"/>
      <c r="CF26" s="282"/>
      <c r="CG26" s="351">
        <f t="shared" si="5"/>
        <v>69750</v>
      </c>
      <c r="CH26" s="351">
        <f t="shared" si="6"/>
        <v>232500</v>
      </c>
      <c r="CI26" s="351">
        <f t="shared" si="7"/>
        <v>46500</v>
      </c>
      <c r="CJ26" s="351">
        <f t="shared" si="8"/>
        <v>69750</v>
      </c>
      <c r="CK26" s="351">
        <f t="shared" si="9"/>
        <v>116250</v>
      </c>
      <c r="CL26" s="351">
        <f t="shared" si="10"/>
        <v>46500</v>
      </c>
      <c r="CM26" s="351">
        <f t="shared" si="11"/>
        <v>37200</v>
      </c>
      <c r="CN26" s="351">
        <f t="shared" si="12"/>
        <v>37200</v>
      </c>
      <c r="CO26" s="351">
        <f t="shared" si="13"/>
        <v>46500</v>
      </c>
      <c r="CP26" s="351">
        <f t="shared" si="14"/>
        <v>18600</v>
      </c>
      <c r="CQ26" s="352">
        <f t="shared" si="38"/>
        <v>720750</v>
      </c>
      <c r="CR26" s="353">
        <f>(HLOOKUP($AI26,'Inflation Adjustments'!$B$3:$BT$4,2,TRUE))*CG26</f>
        <v>10985.039842610169</v>
      </c>
      <c r="CS26" s="353">
        <f>(HLOOKUP($AI26,'Inflation Adjustments'!$B$3:$BT$4,2,TRUE))*CH26</f>
        <v>36616.799475367232</v>
      </c>
      <c r="CT26" s="353">
        <f>(HLOOKUP($AI26,'Inflation Adjustments'!$B$3:$BT$4,2,TRUE))*CI26</f>
        <v>7323.3598950734458</v>
      </c>
      <c r="CU26" s="353">
        <f>(HLOOKUP($AI26,'Inflation Adjustments'!$B$3:$BT$4,2,TRUE))*CJ26</f>
        <v>10985.039842610169</v>
      </c>
      <c r="CV26" s="353">
        <f>(HLOOKUP($AI26,'Inflation Adjustments'!$B$3:$BT$4,2,TRUE))*CK26</f>
        <v>18308.399737683616</v>
      </c>
      <c r="CW26" s="353">
        <f>(HLOOKUP($AI26,'Inflation Adjustments'!$B$3:$BT$4,2,TRUE))*CL26</f>
        <v>7323.3598950734458</v>
      </c>
      <c r="CX26" s="353">
        <f>(HLOOKUP($AI26,'Inflation Adjustments'!$B$3:$BT$4,2,TRUE))*CM26</f>
        <v>5858.6879160587569</v>
      </c>
      <c r="CY26" s="353">
        <f>(HLOOKUP($AI26,'Inflation Adjustments'!$B$3:$BT$4,2,TRUE))*CN26</f>
        <v>5858.6879160587569</v>
      </c>
      <c r="CZ26" s="353">
        <f>(HLOOKUP($AI26,'Inflation Adjustments'!$B$3:$BT$4,2,TRUE))*CO26</f>
        <v>7323.3598950734458</v>
      </c>
      <c r="DA26" s="353">
        <f>(HLOOKUP($AI26,'Inflation Adjustments'!$B$3:$BT$4,2,TRUE))*CP26</f>
        <v>2929.3439580293784</v>
      </c>
      <c r="DB26" s="353">
        <f t="shared" si="39"/>
        <v>113512.07837363842</v>
      </c>
      <c r="DC26" s="354">
        <f t="shared" si="54"/>
        <v>50</v>
      </c>
      <c r="DD26" s="351">
        <f t="shared" si="16"/>
        <v>40</v>
      </c>
      <c r="DE26" s="351">
        <f t="shared" si="17"/>
        <v>40</v>
      </c>
      <c r="DF26" s="351">
        <f t="shared" si="18"/>
        <v>10</v>
      </c>
      <c r="DG26" s="351">
        <f t="shared" si="19"/>
        <v>20</v>
      </c>
      <c r="DH26" s="351">
        <f t="shared" si="20"/>
        <v>40</v>
      </c>
      <c r="DI26" s="351">
        <f t="shared" si="21"/>
        <v>20</v>
      </c>
      <c r="DJ26" s="351">
        <f t="shared" si="22"/>
        <v>10</v>
      </c>
      <c r="DK26" s="351">
        <f t="shared" si="23"/>
        <v>10</v>
      </c>
      <c r="DL26" s="351">
        <f t="shared" si="24"/>
        <v>20</v>
      </c>
      <c r="DM26" s="351">
        <f t="shared" si="25"/>
        <v>30</v>
      </c>
      <c r="DN26" s="355">
        <f t="shared" si="26"/>
        <v>274.62599606525424</v>
      </c>
      <c r="DO26" s="355">
        <f t="shared" si="55"/>
        <v>915.41998688418084</v>
      </c>
      <c r="DP26" s="355">
        <f t="shared" si="56"/>
        <v>732.33598950734461</v>
      </c>
      <c r="DQ26" s="355">
        <f t="shared" si="57"/>
        <v>549.25199213050848</v>
      </c>
      <c r="DR26" s="355">
        <f t="shared" si="58"/>
        <v>457.70999344209042</v>
      </c>
      <c r="DS26" s="355">
        <f t="shared" si="59"/>
        <v>366.1679947536723</v>
      </c>
      <c r="DT26" s="355">
        <f t="shared" si="60"/>
        <v>585.86879160587569</v>
      </c>
      <c r="DU26" s="355">
        <f t="shared" si="61"/>
        <v>585.86879160587569</v>
      </c>
      <c r="DV26" s="355">
        <f t="shared" si="62"/>
        <v>366.1679947536723</v>
      </c>
      <c r="DW26" s="355">
        <f t="shared" si="63"/>
        <v>97.644798600979286</v>
      </c>
      <c r="DX26" s="355">
        <f t="shared" si="40"/>
        <v>4931.0623293494536</v>
      </c>
      <c r="DY26" s="351">
        <f t="shared" si="28"/>
        <v>10985.039842610169</v>
      </c>
      <c r="DZ26" s="351">
        <f t="shared" si="64"/>
        <v>36616.799475367232</v>
      </c>
      <c r="EA26" s="351">
        <f t="shared" si="65"/>
        <v>7323.3598950734458</v>
      </c>
      <c r="EB26" s="351">
        <f t="shared" si="66"/>
        <v>10985.039842610169</v>
      </c>
      <c r="EC26" s="351">
        <f t="shared" si="67"/>
        <v>18308.399737683616</v>
      </c>
      <c r="ED26" s="351">
        <f t="shared" si="68"/>
        <v>7323.3598950734458</v>
      </c>
      <c r="EE26" s="351">
        <f t="shared" si="69"/>
        <v>5858.6879160587569</v>
      </c>
      <c r="EF26" s="351">
        <f t="shared" si="70"/>
        <v>5858.6879160587569</v>
      </c>
      <c r="EG26" s="351">
        <f t="shared" si="71"/>
        <v>7323.3598950734458</v>
      </c>
      <c r="EH26" s="351">
        <f t="shared" si="72"/>
        <v>2929.3439580293784</v>
      </c>
      <c r="EI26" s="352">
        <f t="shared" si="41"/>
        <v>113512.07837363842</v>
      </c>
      <c r="EJ26" s="355">
        <f t="shared" si="30"/>
        <v>0</v>
      </c>
      <c r="EK26" s="355">
        <f t="shared" si="73"/>
        <v>0</v>
      </c>
      <c r="EL26" s="355">
        <f t="shared" si="74"/>
        <v>0</v>
      </c>
      <c r="EM26" s="355">
        <f t="shared" si="75"/>
        <v>0</v>
      </c>
      <c r="EN26" s="355">
        <f t="shared" si="76"/>
        <v>0</v>
      </c>
      <c r="EO26" s="355">
        <f t="shared" si="77"/>
        <v>0</v>
      </c>
      <c r="EP26" s="355">
        <f t="shared" si="78"/>
        <v>0</v>
      </c>
      <c r="EQ26" s="355">
        <f t="shared" si="79"/>
        <v>0</v>
      </c>
      <c r="ER26" s="355">
        <f t="shared" si="80"/>
        <v>0</v>
      </c>
      <c r="ES26" s="355">
        <f t="shared" si="81"/>
        <v>0</v>
      </c>
      <c r="ET26" s="353">
        <f t="shared" si="42"/>
        <v>0</v>
      </c>
      <c r="EU26" s="356">
        <v>2018</v>
      </c>
      <c r="EV26" s="358">
        <v>70000</v>
      </c>
      <c r="EW26" s="356">
        <v>20</v>
      </c>
      <c r="EX26" s="358">
        <f>$C$1-1-EU26</f>
        <v>4</v>
      </c>
      <c r="EY26" s="358">
        <f>EV26/EW26</f>
        <v>3500</v>
      </c>
      <c r="EZ26" s="358">
        <f>IF(EX26*EY26&lt;EV26,EX26*EY26,EV26)</f>
        <v>14000</v>
      </c>
      <c r="FA26" s="351">
        <f>IF(EY26&lt;(EV26-EZ26),EY26,(E80-EZ26))</f>
        <v>3500</v>
      </c>
      <c r="FC26" s="634" t="s">
        <v>1608</v>
      </c>
      <c r="FD26" s="634"/>
      <c r="FE26" s="634"/>
      <c r="FF26" s="634"/>
      <c r="FG26" s="634"/>
      <c r="FH26" s="634"/>
    </row>
    <row r="27" spans="1:165" ht="35" customHeight="1" x14ac:dyDescent="0.3">
      <c r="A27" s="330" t="s">
        <v>1738</v>
      </c>
      <c r="B27" s="318" t="s">
        <v>1040</v>
      </c>
      <c r="C27" s="318" t="s">
        <v>72</v>
      </c>
      <c r="D27" s="318" t="s">
        <v>76</v>
      </c>
      <c r="E27" s="318" t="s">
        <v>8</v>
      </c>
      <c r="F27" s="318" t="s">
        <v>271</v>
      </c>
      <c r="G27" s="318" t="s">
        <v>719</v>
      </c>
      <c r="H27" s="318" t="s">
        <v>901</v>
      </c>
      <c r="I27" s="318" t="s">
        <v>902</v>
      </c>
      <c r="J27" s="318" t="s">
        <v>1045</v>
      </c>
      <c r="K27" s="318" t="s">
        <v>1047</v>
      </c>
      <c r="L27" s="318" t="s">
        <v>1056</v>
      </c>
      <c r="M27" s="318" t="s">
        <v>1060</v>
      </c>
      <c r="N27" s="318" t="s">
        <v>1068</v>
      </c>
      <c r="O27" s="318" t="s">
        <v>1072</v>
      </c>
      <c r="P27" s="318" t="s">
        <v>1079</v>
      </c>
      <c r="Q27" s="318" t="s">
        <v>1080</v>
      </c>
      <c r="R27" s="318" t="s">
        <v>1087</v>
      </c>
      <c r="S27" s="318" t="s">
        <v>1090</v>
      </c>
      <c r="T27" s="318" t="s">
        <v>102</v>
      </c>
      <c r="U27" s="318" t="s">
        <v>102</v>
      </c>
      <c r="V27" s="318" t="s">
        <v>102</v>
      </c>
      <c r="W27" s="318" t="s">
        <v>102</v>
      </c>
      <c r="X27" s="318" t="s">
        <v>102</v>
      </c>
      <c r="Y27" s="318" t="s">
        <v>102</v>
      </c>
      <c r="Z27" s="318" t="s">
        <v>102</v>
      </c>
      <c r="AA27" s="318" t="s">
        <v>102</v>
      </c>
      <c r="AB27" s="318" t="s">
        <v>102</v>
      </c>
      <c r="AC27" s="318" t="s">
        <v>104</v>
      </c>
      <c r="AD27" s="318" t="s">
        <v>1771</v>
      </c>
      <c r="AE27" s="318">
        <v>73</v>
      </c>
      <c r="AF27" s="318">
        <v>40</v>
      </c>
      <c r="AG27" s="318">
        <v>1990</v>
      </c>
      <c r="AH27" s="318" t="s">
        <v>800</v>
      </c>
      <c r="AI27" s="318">
        <f t="shared" si="49"/>
        <v>1990</v>
      </c>
      <c r="AJ27" s="318" t="str">
        <f t="shared" si="43"/>
        <v>Estimated</v>
      </c>
      <c r="AK27" s="318">
        <v>2018</v>
      </c>
      <c r="AL27" s="362">
        <v>30000</v>
      </c>
      <c r="AM27" s="317">
        <f t="shared" si="32"/>
        <v>66100.406330518075</v>
      </c>
      <c r="AN27" s="318" t="s">
        <v>800</v>
      </c>
      <c r="AO27" s="511">
        <f t="shared" si="33"/>
        <v>37908.101079232103</v>
      </c>
      <c r="AP27" s="511">
        <f t="shared" si="34"/>
        <v>28192.305251285972</v>
      </c>
      <c r="AQ27" s="511">
        <f t="shared" si="35"/>
        <v>2024.0381564107463</v>
      </c>
      <c r="AR27" s="511">
        <f t="shared" si="36"/>
        <v>26168.267094875227</v>
      </c>
      <c r="AS27" s="511">
        <f>HLOOKUP($C$1,'Inflation Adjustments'!$BI$3:$BT$4,2)*CQ27</f>
        <v>168907.13765624998</v>
      </c>
      <c r="AT27" s="511">
        <f>IF(BU27="In Service",'Maintenace Cost Assumptions'!$B$3*AS27,0)</f>
        <v>844.53568828124992</v>
      </c>
      <c r="AU27" s="318">
        <v>3</v>
      </c>
      <c r="AV27" s="318">
        <v>3</v>
      </c>
      <c r="AW27" s="318">
        <v>2</v>
      </c>
      <c r="AX27" s="318">
        <v>3</v>
      </c>
      <c r="AY27" s="318">
        <v>3</v>
      </c>
      <c r="AZ27" s="318">
        <v>2</v>
      </c>
      <c r="BA27" s="318">
        <v>2</v>
      </c>
      <c r="BB27" s="318"/>
      <c r="BC27" s="318"/>
      <c r="BD27" s="318"/>
      <c r="BE27" s="318">
        <v>3</v>
      </c>
      <c r="BF27" s="318"/>
      <c r="BG27" s="332">
        <f>(AU27*'Condition rating weights'!H$8+AV27*'Condition rating weights'!I$8+AW27*'Condition rating weights'!J$8+AX27*'Condition rating weights'!K$8+AY27*'Condition rating weights'!L$8+AZ27*'Condition rating weights'!M$8+BA27*'Condition rating weights'!N$8+BB27*'Condition rating weights'!O$8+BC27*'Condition rating weights'!P$8+BD27*'Condition rating weights'!Q$8+BE27*'Condition rating weights'!R$8+BF27*'Condition rating weights'!S$8)/100</f>
        <v>0.56000000000000005</v>
      </c>
      <c r="BH27" s="333">
        <v>1</v>
      </c>
      <c r="BI27" s="333">
        <v>111</v>
      </c>
      <c r="BJ27" s="333" t="s">
        <v>12</v>
      </c>
      <c r="BK27" s="333" t="s">
        <v>959</v>
      </c>
      <c r="BL27" s="333" t="s">
        <v>960</v>
      </c>
      <c r="BM27" s="333" t="s">
        <v>961</v>
      </c>
      <c r="BN27" s="333" t="s">
        <v>117</v>
      </c>
      <c r="BO27" s="333" t="s">
        <v>962</v>
      </c>
      <c r="BP27" s="333" t="s">
        <v>962</v>
      </c>
      <c r="BQ27" s="333" t="s">
        <v>978</v>
      </c>
      <c r="BR27" s="333" t="s">
        <v>964</v>
      </c>
      <c r="BS27" s="333" t="s">
        <v>964</v>
      </c>
      <c r="BT27" s="334" t="s">
        <v>965</v>
      </c>
      <c r="BU27" s="335" t="s">
        <v>1429</v>
      </c>
      <c r="BV27" s="282"/>
      <c r="BW27" s="282"/>
      <c r="BX27" s="282"/>
      <c r="BY27" s="282"/>
      <c r="BZ27" s="282"/>
      <c r="CA27" s="282"/>
      <c r="CB27" s="282"/>
      <c r="CC27" s="282"/>
      <c r="CD27" s="282"/>
      <c r="CE27" s="282"/>
      <c r="CF27" s="282"/>
      <c r="CG27" s="351">
        <f t="shared" si="5"/>
        <v>10950</v>
      </c>
      <c r="CH27" s="351">
        <f t="shared" si="6"/>
        <v>36500</v>
      </c>
      <c r="CI27" s="351">
        <f t="shared" si="7"/>
        <v>7300</v>
      </c>
      <c r="CJ27" s="351">
        <f t="shared" si="8"/>
        <v>10950</v>
      </c>
      <c r="CK27" s="351">
        <f t="shared" si="9"/>
        <v>18250</v>
      </c>
      <c r="CL27" s="351">
        <f t="shared" si="10"/>
        <v>7300</v>
      </c>
      <c r="CM27" s="351">
        <f t="shared" si="11"/>
        <v>5840</v>
      </c>
      <c r="CN27" s="351">
        <f t="shared" si="12"/>
        <v>5840</v>
      </c>
      <c r="CO27" s="351">
        <f t="shared" si="13"/>
        <v>7300</v>
      </c>
      <c r="CP27" s="351">
        <f t="shared" si="14"/>
        <v>2920</v>
      </c>
      <c r="CQ27" s="352">
        <f t="shared" si="38"/>
        <v>113150</v>
      </c>
      <c r="CR27" s="353">
        <f>(HLOOKUP($AI27,'Inflation Adjustments'!$B$3:$BT$4,2,TRUE))*CG27</f>
        <v>3493.5877094049752</v>
      </c>
      <c r="CS27" s="353">
        <f>(HLOOKUP($AI27,'Inflation Adjustments'!$B$3:$BT$4,2,TRUE))*CH27</f>
        <v>11645.292364683251</v>
      </c>
      <c r="CT27" s="353">
        <f>(HLOOKUP($AI27,'Inflation Adjustments'!$B$3:$BT$4,2,TRUE))*CI27</f>
        <v>2329.0584729366501</v>
      </c>
      <c r="CU27" s="353">
        <f>(HLOOKUP($AI27,'Inflation Adjustments'!$B$3:$BT$4,2,TRUE))*CJ27</f>
        <v>3493.5877094049752</v>
      </c>
      <c r="CV27" s="353">
        <f>(HLOOKUP($AI27,'Inflation Adjustments'!$B$3:$BT$4,2,TRUE))*CK27</f>
        <v>5822.6461823416257</v>
      </c>
      <c r="CW27" s="353">
        <f>(HLOOKUP($AI27,'Inflation Adjustments'!$B$3:$BT$4,2,TRUE))*CL27</f>
        <v>2329.0584729366501</v>
      </c>
      <c r="CX27" s="353">
        <f>(HLOOKUP($AI27,'Inflation Adjustments'!$B$3:$BT$4,2,TRUE))*CM27</f>
        <v>1863.2467783493203</v>
      </c>
      <c r="CY27" s="353">
        <f>(HLOOKUP($AI27,'Inflation Adjustments'!$B$3:$BT$4,2,TRUE))*CN27</f>
        <v>1863.2467783493203</v>
      </c>
      <c r="CZ27" s="353">
        <f>(HLOOKUP($AI27,'Inflation Adjustments'!$B$3:$BT$4,2,TRUE))*CO27</f>
        <v>2329.0584729366501</v>
      </c>
      <c r="DA27" s="353">
        <f>(HLOOKUP($AI27,'Inflation Adjustments'!$B$3:$BT$4,2,TRUE))*CP27</f>
        <v>931.62338917466013</v>
      </c>
      <c r="DB27" s="353">
        <f t="shared" si="39"/>
        <v>36100.406330518083</v>
      </c>
      <c r="DC27" s="354">
        <f t="shared" si="54"/>
        <v>32</v>
      </c>
      <c r="DD27" s="351">
        <f t="shared" si="16"/>
        <v>40</v>
      </c>
      <c r="DE27" s="351">
        <f t="shared" si="17"/>
        <v>40</v>
      </c>
      <c r="DF27" s="351">
        <f t="shared" si="18"/>
        <v>10</v>
      </c>
      <c r="DG27" s="351">
        <f t="shared" si="19"/>
        <v>20</v>
      </c>
      <c r="DH27" s="351">
        <f t="shared" si="20"/>
        <v>40</v>
      </c>
      <c r="DI27" s="351">
        <f t="shared" si="21"/>
        <v>20</v>
      </c>
      <c r="DJ27" s="351">
        <f t="shared" si="22"/>
        <v>10</v>
      </c>
      <c r="DK27" s="351">
        <f t="shared" si="23"/>
        <v>10</v>
      </c>
      <c r="DL27" s="351">
        <f t="shared" si="24"/>
        <v>20</v>
      </c>
      <c r="DM27" s="351">
        <f t="shared" si="25"/>
        <v>30</v>
      </c>
      <c r="DN27" s="355">
        <f t="shared" si="26"/>
        <v>87.339692735124373</v>
      </c>
      <c r="DO27" s="355">
        <f t="shared" si="55"/>
        <v>291.13230911708126</v>
      </c>
      <c r="DP27" s="355">
        <f t="shared" si="56"/>
        <v>232.905847293665</v>
      </c>
      <c r="DQ27" s="355">
        <f t="shared" si="57"/>
        <v>174.67938547024875</v>
      </c>
      <c r="DR27" s="355">
        <f t="shared" si="58"/>
        <v>145.56615455854063</v>
      </c>
      <c r="DS27" s="355">
        <f t="shared" si="59"/>
        <v>116.4529236468325</v>
      </c>
      <c r="DT27" s="355">
        <f t="shared" si="60"/>
        <v>186.32467783493203</v>
      </c>
      <c r="DU27" s="355">
        <f t="shared" si="61"/>
        <v>186.32467783493203</v>
      </c>
      <c r="DV27" s="355">
        <f t="shared" si="62"/>
        <v>116.4529236468325</v>
      </c>
      <c r="DW27" s="355">
        <f t="shared" si="63"/>
        <v>31.054112972488671</v>
      </c>
      <c r="DX27" s="355">
        <f t="shared" si="40"/>
        <v>1568.2327051106777</v>
      </c>
      <c r="DY27" s="351">
        <f t="shared" si="28"/>
        <v>2794.8701675239799</v>
      </c>
      <c r="DZ27" s="351">
        <f t="shared" si="64"/>
        <v>9316.2338917466004</v>
      </c>
      <c r="EA27" s="351">
        <f t="shared" si="65"/>
        <v>2329.0584729366501</v>
      </c>
      <c r="EB27" s="351">
        <f t="shared" si="66"/>
        <v>3493.5877094049752</v>
      </c>
      <c r="EC27" s="351">
        <f t="shared" si="67"/>
        <v>4658.1169458733002</v>
      </c>
      <c r="ED27" s="351">
        <f t="shared" si="68"/>
        <v>2329.0584729366501</v>
      </c>
      <c r="EE27" s="351">
        <f t="shared" si="69"/>
        <v>1863.2467783493203</v>
      </c>
      <c r="EF27" s="351">
        <f t="shared" si="70"/>
        <v>1863.2467783493203</v>
      </c>
      <c r="EG27" s="351">
        <f t="shared" si="71"/>
        <v>2329.0584729366501</v>
      </c>
      <c r="EH27" s="351">
        <f t="shared" si="72"/>
        <v>931.62338917466013</v>
      </c>
      <c r="EI27" s="352">
        <f t="shared" si="41"/>
        <v>31908.101079232103</v>
      </c>
      <c r="EJ27" s="355">
        <f t="shared" si="30"/>
        <v>87.339692735124373</v>
      </c>
      <c r="EK27" s="355">
        <f t="shared" si="73"/>
        <v>291.13230911708126</v>
      </c>
      <c r="EL27" s="355">
        <f t="shared" si="74"/>
        <v>0</v>
      </c>
      <c r="EM27" s="355">
        <f t="shared" si="75"/>
        <v>0</v>
      </c>
      <c r="EN27" s="355">
        <f t="shared" si="76"/>
        <v>145.56615455854063</v>
      </c>
      <c r="EO27" s="355">
        <f t="shared" si="77"/>
        <v>0</v>
      </c>
      <c r="EP27" s="355">
        <f t="shared" si="78"/>
        <v>0</v>
      </c>
      <c r="EQ27" s="355">
        <f t="shared" si="79"/>
        <v>0</v>
      </c>
      <c r="ER27" s="355">
        <f t="shared" si="80"/>
        <v>0</v>
      </c>
      <c r="ES27" s="355">
        <f t="shared" si="81"/>
        <v>0</v>
      </c>
      <c r="ET27" s="353">
        <f t="shared" si="42"/>
        <v>524.0381564107463</v>
      </c>
      <c r="EU27" s="356">
        <v>2018</v>
      </c>
      <c r="EV27" s="358">
        <v>30000</v>
      </c>
      <c r="EW27" s="356">
        <v>20</v>
      </c>
      <c r="EX27" s="358">
        <f>$C$1-1-EU27</f>
        <v>4</v>
      </c>
      <c r="EY27" s="358">
        <f>EV27/EW27</f>
        <v>1500</v>
      </c>
      <c r="EZ27" s="358">
        <f>IF(EX27*EY27&lt;EV27,EX27*EY27,EV27)</f>
        <v>6000</v>
      </c>
      <c r="FA27" s="351">
        <f>IF(EY27&lt;(EV27-EZ27),EY27,(E81-EZ27))</f>
        <v>1500</v>
      </c>
      <c r="FC27" s="634"/>
      <c r="FD27" s="634"/>
      <c r="FE27" s="634"/>
      <c r="FF27" s="634"/>
      <c r="FG27" s="634"/>
      <c r="FH27" s="634"/>
    </row>
    <row r="28" spans="1:165" ht="35" customHeight="1" x14ac:dyDescent="0.3">
      <c r="A28" s="330" t="s">
        <v>1739</v>
      </c>
      <c r="B28" s="318" t="s">
        <v>877</v>
      </c>
      <c r="C28" s="318" t="s">
        <v>72</v>
      </c>
      <c r="D28" s="318" t="s">
        <v>76</v>
      </c>
      <c r="E28" s="318" t="s">
        <v>8</v>
      </c>
      <c r="F28" s="318" t="s">
        <v>271</v>
      </c>
      <c r="G28" s="318" t="s">
        <v>719</v>
      </c>
      <c r="H28" s="318" t="s">
        <v>903</v>
      </c>
      <c r="I28" s="318" t="s">
        <v>904</v>
      </c>
      <c r="J28" s="318" t="s">
        <v>1045</v>
      </c>
      <c r="K28" s="318" t="s">
        <v>1047</v>
      </c>
      <c r="L28" s="318" t="s">
        <v>1056</v>
      </c>
      <c r="M28" s="318" t="s">
        <v>1060</v>
      </c>
      <c r="N28" s="318" t="s">
        <v>1068</v>
      </c>
      <c r="O28" s="318" t="s">
        <v>1072</v>
      </c>
      <c r="P28" s="318" t="s">
        <v>1079</v>
      </c>
      <c r="Q28" s="318" t="s">
        <v>1080</v>
      </c>
      <c r="R28" s="318" t="s">
        <v>1085</v>
      </c>
      <c r="S28" s="318" t="s">
        <v>1090</v>
      </c>
      <c r="T28" s="318" t="s">
        <v>102</v>
      </c>
      <c r="U28" s="318" t="s">
        <v>102</v>
      </c>
      <c r="V28" s="318" t="s">
        <v>102</v>
      </c>
      <c r="W28" s="318" t="s">
        <v>102</v>
      </c>
      <c r="X28" s="318" t="s">
        <v>102</v>
      </c>
      <c r="Y28" s="318" t="s">
        <v>102</v>
      </c>
      <c r="Z28" s="318" t="s">
        <v>102</v>
      </c>
      <c r="AA28" s="318" t="s">
        <v>102</v>
      </c>
      <c r="AB28" s="318" t="s">
        <v>102</v>
      </c>
      <c r="AC28" s="318" t="s">
        <v>104</v>
      </c>
      <c r="AD28" s="318" t="s">
        <v>1771</v>
      </c>
      <c r="AE28" s="318">
        <v>73</v>
      </c>
      <c r="AF28" s="318">
        <v>40</v>
      </c>
      <c r="AG28" s="318">
        <v>1995</v>
      </c>
      <c r="AH28" s="318" t="s">
        <v>800</v>
      </c>
      <c r="AI28" s="318">
        <f t="shared" si="49"/>
        <v>1995</v>
      </c>
      <c r="AJ28" s="318" t="str">
        <f t="shared" si="43"/>
        <v>Estimated</v>
      </c>
      <c r="AK28" s="318"/>
      <c r="AL28" s="318"/>
      <c r="AM28" s="317">
        <f t="shared" si="32"/>
        <v>43921.664139844172</v>
      </c>
      <c r="AN28" s="318" t="s">
        <v>800</v>
      </c>
      <c r="AO28" s="511">
        <f t="shared" si="33"/>
        <v>35519.874838254618</v>
      </c>
      <c r="AP28" s="511">
        <f t="shared" si="34"/>
        <v>8401.7893015895534</v>
      </c>
      <c r="AQ28" s="511">
        <f t="shared" si="35"/>
        <v>675.3546206449156</v>
      </c>
      <c r="AR28" s="511">
        <f t="shared" si="36"/>
        <v>7726.4346809446379</v>
      </c>
      <c r="AS28" s="511">
        <f>HLOOKUP($C$1,'Inflation Adjustments'!$BI$3:$BT$4,2)*CQ28</f>
        <v>168907.13765624998</v>
      </c>
      <c r="AT28" s="511">
        <f>IF(BU28="In Service",'Maintenace Cost Assumptions'!$B$3*AS28,0)</f>
        <v>844.53568828124992</v>
      </c>
      <c r="AU28" s="318">
        <v>3</v>
      </c>
      <c r="AV28" s="318">
        <v>3</v>
      </c>
      <c r="AW28" s="318">
        <v>3</v>
      </c>
      <c r="AX28" s="318">
        <v>3</v>
      </c>
      <c r="AY28" s="318">
        <v>3</v>
      </c>
      <c r="AZ28" s="318">
        <v>3</v>
      </c>
      <c r="BA28" s="318">
        <v>2</v>
      </c>
      <c r="BB28" s="318"/>
      <c r="BC28" s="318"/>
      <c r="BD28" s="318"/>
      <c r="BE28" s="318">
        <v>4</v>
      </c>
      <c r="BF28" s="318"/>
      <c r="BG28" s="332">
        <f>(AU28*'Condition rating weights'!H$8+AV28*'Condition rating weights'!I$8+AW28*'Condition rating weights'!J$8+AX28*'Condition rating weights'!K$8+AY28*'Condition rating weights'!L$8+AZ28*'Condition rating weights'!M$8+BA28*'Condition rating weights'!N$8+BB28*'Condition rating weights'!O$8+BC28*'Condition rating weights'!P$8+BD28*'Condition rating weights'!Q$8+BE28*'Condition rating weights'!R$8+BF28*'Condition rating weights'!S$8)/100</f>
        <v>0.64</v>
      </c>
      <c r="BH28" s="333">
        <v>1</v>
      </c>
      <c r="BI28" s="333">
        <v>211</v>
      </c>
      <c r="BJ28" s="333" t="s">
        <v>12</v>
      </c>
      <c r="BK28" s="333" t="s">
        <v>959</v>
      </c>
      <c r="BL28" s="333" t="s">
        <v>960</v>
      </c>
      <c r="BM28" s="333" t="s">
        <v>961</v>
      </c>
      <c r="BN28" s="333" t="s">
        <v>117</v>
      </c>
      <c r="BO28" s="333" t="s">
        <v>962</v>
      </c>
      <c r="BP28" s="333" t="s">
        <v>962</v>
      </c>
      <c r="BQ28" s="333" t="s">
        <v>963</v>
      </c>
      <c r="BR28" s="333" t="s">
        <v>964</v>
      </c>
      <c r="BS28" s="333" t="s">
        <v>964</v>
      </c>
      <c r="BT28" s="334" t="s">
        <v>965</v>
      </c>
      <c r="BU28" s="335" t="s">
        <v>1429</v>
      </c>
      <c r="BV28" s="282"/>
      <c r="BW28" s="282"/>
      <c r="BX28" s="282"/>
      <c r="BY28" s="282"/>
      <c r="BZ28" s="282"/>
      <c r="CA28" s="282"/>
      <c r="CB28" s="282"/>
      <c r="CC28" s="282"/>
      <c r="CD28" s="282"/>
      <c r="CE28" s="282"/>
      <c r="CF28" s="282"/>
      <c r="CG28" s="351">
        <f t="shared" si="5"/>
        <v>10950</v>
      </c>
      <c r="CH28" s="351">
        <f t="shared" si="6"/>
        <v>36500</v>
      </c>
      <c r="CI28" s="351">
        <f t="shared" si="7"/>
        <v>7300</v>
      </c>
      <c r="CJ28" s="351">
        <f t="shared" si="8"/>
        <v>10950</v>
      </c>
      <c r="CK28" s="351">
        <f t="shared" si="9"/>
        <v>18250</v>
      </c>
      <c r="CL28" s="351">
        <f t="shared" si="10"/>
        <v>7300</v>
      </c>
      <c r="CM28" s="351">
        <f t="shared" si="11"/>
        <v>5840</v>
      </c>
      <c r="CN28" s="351">
        <f t="shared" si="12"/>
        <v>5840</v>
      </c>
      <c r="CO28" s="351">
        <f t="shared" si="13"/>
        <v>7300</v>
      </c>
      <c r="CP28" s="351">
        <f t="shared" si="14"/>
        <v>2920</v>
      </c>
      <c r="CQ28" s="352">
        <f t="shared" si="38"/>
        <v>113150</v>
      </c>
      <c r="CR28" s="353">
        <f>(HLOOKUP($AI28,'Inflation Adjustments'!$B$3:$BT$4,2,TRUE))*CG28</f>
        <v>4250.4836264365322</v>
      </c>
      <c r="CS28" s="353">
        <f>(HLOOKUP($AI28,'Inflation Adjustments'!$B$3:$BT$4,2,TRUE))*CH28</f>
        <v>14168.27875478844</v>
      </c>
      <c r="CT28" s="353">
        <f>(HLOOKUP($AI28,'Inflation Adjustments'!$B$3:$BT$4,2,TRUE))*CI28</f>
        <v>2833.6557509576883</v>
      </c>
      <c r="CU28" s="353">
        <f>(HLOOKUP($AI28,'Inflation Adjustments'!$B$3:$BT$4,2,TRUE))*CJ28</f>
        <v>4250.4836264365322</v>
      </c>
      <c r="CV28" s="353">
        <f>(HLOOKUP($AI28,'Inflation Adjustments'!$B$3:$BT$4,2,TRUE))*CK28</f>
        <v>7084.13937739422</v>
      </c>
      <c r="CW28" s="353">
        <f>(HLOOKUP($AI28,'Inflation Adjustments'!$B$3:$BT$4,2,TRUE))*CL28</f>
        <v>2833.6557509576883</v>
      </c>
      <c r="CX28" s="353">
        <f>(HLOOKUP($AI28,'Inflation Adjustments'!$B$3:$BT$4,2,TRUE))*CM28</f>
        <v>2266.9246007661504</v>
      </c>
      <c r="CY28" s="353">
        <f>(HLOOKUP($AI28,'Inflation Adjustments'!$B$3:$BT$4,2,TRUE))*CN28</f>
        <v>2266.9246007661504</v>
      </c>
      <c r="CZ28" s="353">
        <f>(HLOOKUP($AI28,'Inflation Adjustments'!$B$3:$BT$4,2,TRUE))*CO28</f>
        <v>2833.6557509576883</v>
      </c>
      <c r="DA28" s="353">
        <f>(HLOOKUP($AI28,'Inflation Adjustments'!$B$3:$BT$4,2,TRUE))*CP28</f>
        <v>1133.4623003830752</v>
      </c>
      <c r="DB28" s="353">
        <f t="shared" si="39"/>
        <v>43921.664139844172</v>
      </c>
      <c r="DC28" s="354">
        <f t="shared" si="54"/>
        <v>27</v>
      </c>
      <c r="DD28" s="351">
        <f t="shared" si="16"/>
        <v>40</v>
      </c>
      <c r="DE28" s="351">
        <f t="shared" si="17"/>
        <v>40</v>
      </c>
      <c r="DF28" s="351">
        <f t="shared" si="18"/>
        <v>10</v>
      </c>
      <c r="DG28" s="351">
        <f t="shared" si="19"/>
        <v>20</v>
      </c>
      <c r="DH28" s="351">
        <f t="shared" si="20"/>
        <v>40</v>
      </c>
      <c r="DI28" s="351">
        <f t="shared" si="21"/>
        <v>20</v>
      </c>
      <c r="DJ28" s="351">
        <f t="shared" si="22"/>
        <v>10</v>
      </c>
      <c r="DK28" s="351">
        <f t="shared" si="23"/>
        <v>10</v>
      </c>
      <c r="DL28" s="351">
        <f t="shared" si="24"/>
        <v>20</v>
      </c>
      <c r="DM28" s="351">
        <f t="shared" si="25"/>
        <v>30</v>
      </c>
      <c r="DN28" s="355">
        <f t="shared" si="26"/>
        <v>106.2620906609133</v>
      </c>
      <c r="DO28" s="355">
        <f t="shared" si="55"/>
        <v>354.20696886971098</v>
      </c>
      <c r="DP28" s="355">
        <f t="shared" si="56"/>
        <v>283.3655750957688</v>
      </c>
      <c r="DQ28" s="355">
        <f t="shared" si="57"/>
        <v>212.5241813218266</v>
      </c>
      <c r="DR28" s="355">
        <f t="shared" si="58"/>
        <v>177.10348443485549</v>
      </c>
      <c r="DS28" s="355">
        <f t="shared" si="59"/>
        <v>141.6827875478844</v>
      </c>
      <c r="DT28" s="355">
        <f t="shared" si="60"/>
        <v>226.69246007661505</v>
      </c>
      <c r="DU28" s="355">
        <f t="shared" si="61"/>
        <v>226.69246007661505</v>
      </c>
      <c r="DV28" s="355">
        <f t="shared" si="62"/>
        <v>141.6827875478844</v>
      </c>
      <c r="DW28" s="355">
        <f t="shared" si="63"/>
        <v>37.782076679435839</v>
      </c>
      <c r="DX28" s="355">
        <f t="shared" si="40"/>
        <v>1907.9948723115101</v>
      </c>
      <c r="DY28" s="351">
        <f t="shared" si="28"/>
        <v>2869.076447844659</v>
      </c>
      <c r="DZ28" s="351">
        <f t="shared" si="64"/>
        <v>9563.5881594821967</v>
      </c>
      <c r="EA28" s="351">
        <f t="shared" si="65"/>
        <v>2833.6557509576883</v>
      </c>
      <c r="EB28" s="351">
        <f t="shared" si="66"/>
        <v>4250.4836264365322</v>
      </c>
      <c r="EC28" s="351">
        <f t="shared" si="67"/>
        <v>4781.7940797410984</v>
      </c>
      <c r="ED28" s="351">
        <f t="shared" si="68"/>
        <v>2833.6557509576883</v>
      </c>
      <c r="EE28" s="351">
        <f t="shared" si="69"/>
        <v>2266.9246007661504</v>
      </c>
      <c r="EF28" s="351">
        <f t="shared" si="70"/>
        <v>2266.9246007661504</v>
      </c>
      <c r="EG28" s="351">
        <f t="shared" si="71"/>
        <v>2833.6557509576883</v>
      </c>
      <c r="EH28" s="351">
        <f t="shared" si="72"/>
        <v>1020.1160703447676</v>
      </c>
      <c r="EI28" s="352">
        <f t="shared" si="41"/>
        <v>35519.874838254618</v>
      </c>
      <c r="EJ28" s="355">
        <f t="shared" si="30"/>
        <v>106.2620906609133</v>
      </c>
      <c r="EK28" s="355">
        <f t="shared" si="73"/>
        <v>354.20696886971098</v>
      </c>
      <c r="EL28" s="355">
        <f t="shared" si="74"/>
        <v>0</v>
      </c>
      <c r="EM28" s="355">
        <f t="shared" si="75"/>
        <v>0</v>
      </c>
      <c r="EN28" s="355">
        <f t="shared" si="76"/>
        <v>177.10348443485549</v>
      </c>
      <c r="EO28" s="355">
        <f t="shared" si="77"/>
        <v>0</v>
      </c>
      <c r="EP28" s="355">
        <f t="shared" si="78"/>
        <v>0</v>
      </c>
      <c r="EQ28" s="355">
        <f t="shared" si="79"/>
        <v>0</v>
      </c>
      <c r="ER28" s="355">
        <f t="shared" si="80"/>
        <v>0</v>
      </c>
      <c r="ES28" s="355">
        <f t="shared" si="81"/>
        <v>37.782076679435839</v>
      </c>
      <c r="ET28" s="353">
        <f t="shared" si="42"/>
        <v>675.3546206449156</v>
      </c>
      <c r="EU28" s="358"/>
      <c r="EV28" s="358"/>
      <c r="EW28" s="358"/>
      <c r="EX28" s="358"/>
      <c r="EY28" s="358"/>
      <c r="EZ28" s="358"/>
      <c r="FA28" s="358"/>
    </row>
    <row r="29" spans="1:165" ht="35" customHeight="1" x14ac:dyDescent="0.3">
      <c r="A29" s="330" t="s">
        <v>1740</v>
      </c>
      <c r="B29" s="318" t="s">
        <v>1701</v>
      </c>
      <c r="C29" s="318" t="s">
        <v>72</v>
      </c>
      <c r="D29" s="318" t="s">
        <v>321</v>
      </c>
      <c r="E29" s="318" t="s">
        <v>8</v>
      </c>
      <c r="F29" s="318" t="s">
        <v>278</v>
      </c>
      <c r="G29" s="318" t="s">
        <v>880</v>
      </c>
      <c r="H29" s="318" t="s">
        <v>905</v>
      </c>
      <c r="I29" s="318" t="s">
        <v>906</v>
      </c>
      <c r="J29" s="318" t="s">
        <v>1045</v>
      </c>
      <c r="K29" s="318" t="s">
        <v>1049</v>
      </c>
      <c r="L29" s="318" t="s">
        <v>1055</v>
      </c>
      <c r="M29" s="318" t="s">
        <v>1060</v>
      </c>
      <c r="N29" s="318" t="s">
        <v>1068</v>
      </c>
      <c r="O29" s="318" t="s">
        <v>1072</v>
      </c>
      <c r="P29" s="318" t="s">
        <v>1078</v>
      </c>
      <c r="Q29" s="318" t="s">
        <v>1080</v>
      </c>
      <c r="R29" s="318" t="s">
        <v>1085</v>
      </c>
      <c r="S29" s="318" t="s">
        <v>1089</v>
      </c>
      <c r="T29" s="318" t="s">
        <v>102</v>
      </c>
      <c r="U29" s="318" t="s">
        <v>102</v>
      </c>
      <c r="V29" s="318" t="s">
        <v>102</v>
      </c>
      <c r="W29" s="318" t="s">
        <v>102</v>
      </c>
      <c r="X29" s="318" t="s">
        <v>102</v>
      </c>
      <c r="Y29" s="318" t="s">
        <v>102</v>
      </c>
      <c r="Z29" s="318" t="s">
        <v>102</v>
      </c>
      <c r="AA29" s="318" t="s">
        <v>102</v>
      </c>
      <c r="AB29" s="318" t="s">
        <v>102</v>
      </c>
      <c r="AC29" s="318" t="s">
        <v>102</v>
      </c>
      <c r="AD29" s="318" t="s">
        <v>1771</v>
      </c>
      <c r="AE29" s="318">
        <v>235</v>
      </c>
      <c r="AF29" s="318">
        <v>40</v>
      </c>
      <c r="AG29" s="318">
        <v>2016</v>
      </c>
      <c r="AH29" s="318" t="s">
        <v>982</v>
      </c>
      <c r="AI29" s="318">
        <f t="shared" si="49"/>
        <v>2016</v>
      </c>
      <c r="AJ29" s="318" t="str">
        <f t="shared" si="43"/>
        <v>Actual</v>
      </c>
      <c r="AK29" s="318"/>
      <c r="AL29" s="318"/>
      <c r="AM29" s="317">
        <f t="shared" si="32"/>
        <v>331369.83998557692</v>
      </c>
      <c r="AN29" s="318" t="s">
        <v>800</v>
      </c>
      <c r="AO29" s="511">
        <f t="shared" si="33"/>
        <v>87065.801094249618</v>
      </c>
      <c r="AP29" s="511">
        <f t="shared" si="34"/>
        <v>244304.03889132731</v>
      </c>
      <c r="AQ29" s="511">
        <f t="shared" si="35"/>
        <v>14510.966849041606</v>
      </c>
      <c r="AR29" s="511">
        <f t="shared" si="36"/>
        <v>229793.0720422857</v>
      </c>
      <c r="AS29" s="511">
        <f>HLOOKUP($C$1,'Inflation Adjustments'!$BI$3:$BT$4,2)*CQ29</f>
        <v>536726.12765624991</v>
      </c>
      <c r="AT29" s="511">
        <f>IF(BU29="In Service",'Maintenace Cost Assumptions'!$B$3*AS29,0)</f>
        <v>2683.6306382812495</v>
      </c>
      <c r="AU29" s="318">
        <v>3</v>
      </c>
      <c r="AV29" s="318">
        <v>3</v>
      </c>
      <c r="AW29" s="318">
        <v>3</v>
      </c>
      <c r="AX29" s="318">
        <v>3</v>
      </c>
      <c r="AY29" s="318">
        <v>3</v>
      </c>
      <c r="AZ29" s="318">
        <v>3</v>
      </c>
      <c r="BA29" s="318">
        <v>3</v>
      </c>
      <c r="BB29" s="318"/>
      <c r="BC29" s="318"/>
      <c r="BD29" s="318"/>
      <c r="BE29" s="318">
        <v>4</v>
      </c>
      <c r="BF29" s="318"/>
      <c r="BG29" s="332">
        <f>(AU29*'Condition rating weights'!H$8+AV29*'Condition rating weights'!I$8+AW29*'Condition rating weights'!J$8+AX29*'Condition rating weights'!K$8+AY29*'Condition rating weights'!L$8+AZ29*'Condition rating weights'!M$8+BA29*'Condition rating weights'!N$8+BB29*'Condition rating weights'!O$8+BC29*'Condition rating weights'!P$8+BD29*'Condition rating weights'!Q$8+BE29*'Condition rating weights'!R$8+BF29*'Condition rating weights'!S$8)/100</f>
        <v>0.66</v>
      </c>
      <c r="BH29" s="333">
        <v>1</v>
      </c>
      <c r="BI29" s="333">
        <v>411</v>
      </c>
      <c r="BJ29" s="333" t="s">
        <v>12</v>
      </c>
      <c r="BK29" s="333" t="s">
        <v>959</v>
      </c>
      <c r="BL29" s="333" t="s">
        <v>960</v>
      </c>
      <c r="BM29" s="333" t="s">
        <v>961</v>
      </c>
      <c r="BN29" s="333" t="s">
        <v>117</v>
      </c>
      <c r="BO29" s="333" t="s">
        <v>962</v>
      </c>
      <c r="BP29" s="333" t="s">
        <v>962</v>
      </c>
      <c r="BQ29" s="333" t="s">
        <v>963</v>
      </c>
      <c r="BR29" s="333" t="s">
        <v>964</v>
      </c>
      <c r="BS29" s="333" t="s">
        <v>964</v>
      </c>
      <c r="BT29" s="334" t="s">
        <v>965</v>
      </c>
      <c r="BU29" s="335" t="s">
        <v>1429</v>
      </c>
      <c r="BV29" s="282"/>
      <c r="BW29" s="282"/>
      <c r="BX29" s="282"/>
      <c r="BY29" s="282"/>
      <c r="BZ29" s="282"/>
      <c r="CA29" s="282"/>
      <c r="CB29" s="282"/>
      <c r="CC29" s="282"/>
      <c r="CD29" s="282"/>
      <c r="CE29" s="282"/>
      <c r="CF29" s="282"/>
      <c r="CG29" s="351">
        <f t="shared" si="5"/>
        <v>35250</v>
      </c>
      <c r="CH29" s="351">
        <f t="shared" si="6"/>
        <v>117500</v>
      </c>
      <c r="CI29" s="351">
        <f t="shared" si="7"/>
        <v>23500</v>
      </c>
      <c r="CJ29" s="351">
        <f t="shared" si="8"/>
        <v>35250</v>
      </c>
      <c r="CK29" s="351">
        <f t="shared" si="9"/>
        <v>58750</v>
      </c>
      <c r="CL29" s="351">
        <f t="shared" si="10"/>
        <v>23500</v>
      </c>
      <c r="CM29" s="351">
        <f t="shared" si="11"/>
        <v>18800</v>
      </c>
      <c r="CN29" s="351">
        <f t="shared" si="12"/>
        <v>18800</v>
      </c>
      <c r="CO29" s="351">
        <f t="shared" si="13"/>
        <v>23500</v>
      </c>
      <c r="CP29" s="351">
        <f t="shared" si="14"/>
        <v>4700</v>
      </c>
      <c r="CQ29" s="352">
        <f t="shared" si="38"/>
        <v>359550</v>
      </c>
      <c r="CR29" s="353">
        <f>(HLOOKUP($AI29,'Inflation Adjustments'!$B$3:$BT$4,2,TRUE))*CG29</f>
        <v>32487.239214272249</v>
      </c>
      <c r="CS29" s="353">
        <f>(HLOOKUP($AI29,'Inflation Adjustments'!$B$3:$BT$4,2,TRUE))*CH29</f>
        <v>108290.79738090749</v>
      </c>
      <c r="CT29" s="353">
        <f>(HLOOKUP($AI29,'Inflation Adjustments'!$B$3:$BT$4,2,TRUE))*CI29</f>
        <v>21658.159476181499</v>
      </c>
      <c r="CU29" s="353">
        <f>(HLOOKUP($AI29,'Inflation Adjustments'!$B$3:$BT$4,2,TRUE))*CJ29</f>
        <v>32487.239214272249</v>
      </c>
      <c r="CV29" s="353">
        <f>(HLOOKUP($AI29,'Inflation Adjustments'!$B$3:$BT$4,2,TRUE))*CK29</f>
        <v>54145.398690453745</v>
      </c>
      <c r="CW29" s="353">
        <f>(HLOOKUP($AI29,'Inflation Adjustments'!$B$3:$BT$4,2,TRUE))*CL29</f>
        <v>21658.159476181499</v>
      </c>
      <c r="CX29" s="353">
        <f>(HLOOKUP($AI29,'Inflation Adjustments'!$B$3:$BT$4,2,TRUE))*CM29</f>
        <v>17326.5275809452</v>
      </c>
      <c r="CY29" s="353">
        <f>(HLOOKUP($AI29,'Inflation Adjustments'!$B$3:$BT$4,2,TRUE))*CN29</f>
        <v>17326.5275809452</v>
      </c>
      <c r="CZ29" s="353">
        <f>(HLOOKUP($AI29,'Inflation Adjustments'!$B$3:$BT$4,2,TRUE))*CO29</f>
        <v>21658.159476181499</v>
      </c>
      <c r="DA29" s="353">
        <f>(HLOOKUP($AI29,'Inflation Adjustments'!$B$3:$BT$4,2,TRUE))*CP29</f>
        <v>4331.6318952362999</v>
      </c>
      <c r="DB29" s="353">
        <f t="shared" si="39"/>
        <v>331369.83998557692</v>
      </c>
      <c r="DC29" s="354">
        <f t="shared" si="54"/>
        <v>6</v>
      </c>
      <c r="DD29" s="351">
        <f t="shared" si="16"/>
        <v>40</v>
      </c>
      <c r="DE29" s="351">
        <f t="shared" si="17"/>
        <v>40</v>
      </c>
      <c r="DF29" s="351">
        <f t="shared" si="18"/>
        <v>10</v>
      </c>
      <c r="DG29" s="351">
        <f t="shared" si="19"/>
        <v>20</v>
      </c>
      <c r="DH29" s="351">
        <f t="shared" si="20"/>
        <v>40</v>
      </c>
      <c r="DI29" s="351">
        <f t="shared" si="21"/>
        <v>20</v>
      </c>
      <c r="DJ29" s="351">
        <f t="shared" si="22"/>
        <v>10</v>
      </c>
      <c r="DK29" s="351">
        <f t="shared" si="23"/>
        <v>10</v>
      </c>
      <c r="DL29" s="351">
        <f t="shared" si="24"/>
        <v>20</v>
      </c>
      <c r="DM29" s="351">
        <f t="shared" si="25"/>
        <v>20</v>
      </c>
      <c r="DN29" s="355">
        <f t="shared" si="26"/>
        <v>812.18098035680623</v>
      </c>
      <c r="DO29" s="355">
        <f t="shared" si="55"/>
        <v>2707.2699345226874</v>
      </c>
      <c r="DP29" s="355">
        <f t="shared" si="56"/>
        <v>2165.8159476181499</v>
      </c>
      <c r="DQ29" s="355">
        <f t="shared" si="57"/>
        <v>1624.3619607136125</v>
      </c>
      <c r="DR29" s="355">
        <f t="shared" si="58"/>
        <v>1353.6349672613437</v>
      </c>
      <c r="DS29" s="355">
        <f t="shared" si="59"/>
        <v>1082.907973809075</v>
      </c>
      <c r="DT29" s="355">
        <f t="shared" si="60"/>
        <v>1732.6527580945199</v>
      </c>
      <c r="DU29" s="355">
        <f t="shared" si="61"/>
        <v>1732.6527580945199</v>
      </c>
      <c r="DV29" s="355">
        <f t="shared" si="62"/>
        <v>1082.907973809075</v>
      </c>
      <c r="DW29" s="355">
        <f t="shared" si="63"/>
        <v>216.58159476181498</v>
      </c>
      <c r="DX29" s="355">
        <f t="shared" si="40"/>
        <v>14510.966849041606</v>
      </c>
      <c r="DY29" s="351">
        <f t="shared" si="28"/>
        <v>4873.0858821408374</v>
      </c>
      <c r="DZ29" s="351">
        <f t="shared" si="64"/>
        <v>16243.619607136125</v>
      </c>
      <c r="EA29" s="351">
        <f t="shared" si="65"/>
        <v>12994.8956857089</v>
      </c>
      <c r="EB29" s="351">
        <f t="shared" si="66"/>
        <v>9746.1717642816748</v>
      </c>
      <c r="EC29" s="351">
        <f t="shared" si="67"/>
        <v>8121.8098035680623</v>
      </c>
      <c r="ED29" s="351">
        <f t="shared" si="68"/>
        <v>6497.4478428544498</v>
      </c>
      <c r="EE29" s="351">
        <f t="shared" si="69"/>
        <v>10395.916548567118</v>
      </c>
      <c r="EF29" s="351">
        <f t="shared" si="70"/>
        <v>10395.916548567118</v>
      </c>
      <c r="EG29" s="351">
        <f t="shared" si="71"/>
        <v>6497.4478428544498</v>
      </c>
      <c r="EH29" s="351">
        <f t="shared" si="72"/>
        <v>1299.4895685708898</v>
      </c>
      <c r="EI29" s="352">
        <f t="shared" si="41"/>
        <v>87065.801094249618</v>
      </c>
      <c r="EJ29" s="355">
        <f t="shared" si="30"/>
        <v>812.18098035680623</v>
      </c>
      <c r="EK29" s="355">
        <f t="shared" si="73"/>
        <v>2707.2699345226874</v>
      </c>
      <c r="EL29" s="355">
        <f t="shared" si="74"/>
        <v>2165.8159476181499</v>
      </c>
      <c r="EM29" s="355">
        <f t="shared" si="75"/>
        <v>1624.3619607136125</v>
      </c>
      <c r="EN29" s="355">
        <f t="shared" si="76"/>
        <v>1353.6349672613437</v>
      </c>
      <c r="EO29" s="355">
        <f t="shared" si="77"/>
        <v>1082.907973809075</v>
      </c>
      <c r="EP29" s="355">
        <f t="shared" si="78"/>
        <v>1732.6527580945199</v>
      </c>
      <c r="EQ29" s="355">
        <f t="shared" si="79"/>
        <v>1732.6527580945199</v>
      </c>
      <c r="ER29" s="355">
        <f t="shared" si="80"/>
        <v>1082.907973809075</v>
      </c>
      <c r="ES29" s="355">
        <f t="shared" si="81"/>
        <v>216.58159476181498</v>
      </c>
      <c r="ET29" s="353">
        <f t="shared" si="42"/>
        <v>14510.966849041606</v>
      </c>
      <c r="EU29" s="358"/>
      <c r="EV29" s="358"/>
      <c r="EW29" s="358"/>
      <c r="EX29" s="358"/>
      <c r="EY29" s="358"/>
      <c r="EZ29" s="358"/>
      <c r="FA29" s="358"/>
      <c r="FC29" s="91" t="s">
        <v>1590</v>
      </c>
    </row>
    <row r="30" spans="1:165" ht="35" customHeight="1" x14ac:dyDescent="0.3">
      <c r="A30" s="330" t="s">
        <v>1741</v>
      </c>
      <c r="B30" s="318" t="s">
        <v>1583</v>
      </c>
      <c r="C30" s="318" t="s">
        <v>72</v>
      </c>
      <c r="D30" s="318" t="s">
        <v>321</v>
      </c>
      <c r="E30" s="318" t="s">
        <v>8</v>
      </c>
      <c r="F30" s="318" t="s">
        <v>945</v>
      </c>
      <c r="G30" s="318" t="s">
        <v>880</v>
      </c>
      <c r="H30" s="318" t="s">
        <v>907</v>
      </c>
      <c r="I30" s="318" t="s">
        <v>908</v>
      </c>
      <c r="J30" s="318" t="s">
        <v>1045</v>
      </c>
      <c r="K30" s="318" t="s">
        <v>1046</v>
      </c>
      <c r="L30" s="318" t="s">
        <v>1055</v>
      </c>
      <c r="M30" s="318" t="s">
        <v>1059</v>
      </c>
      <c r="N30" s="318" t="s">
        <v>1069</v>
      </c>
      <c r="O30" s="318" t="s">
        <v>117</v>
      </c>
      <c r="P30" s="318" t="s">
        <v>1079</v>
      </c>
      <c r="Q30" s="318" t="s">
        <v>1080</v>
      </c>
      <c r="R30" s="318" t="s">
        <v>1085</v>
      </c>
      <c r="S30" s="318" t="s">
        <v>1089</v>
      </c>
      <c r="T30" s="318" t="s">
        <v>104</v>
      </c>
      <c r="U30" s="318" t="s">
        <v>104</v>
      </c>
      <c r="V30" s="318" t="s">
        <v>102</v>
      </c>
      <c r="W30" s="318" t="s">
        <v>102</v>
      </c>
      <c r="X30" s="318" t="s">
        <v>102</v>
      </c>
      <c r="Y30" s="318" t="s">
        <v>102</v>
      </c>
      <c r="Z30" s="318" t="s">
        <v>102</v>
      </c>
      <c r="AA30" s="318" t="s">
        <v>102</v>
      </c>
      <c r="AB30" s="318" t="s">
        <v>102</v>
      </c>
      <c r="AC30" s="318" t="s">
        <v>102</v>
      </c>
      <c r="AD30" s="318" t="s">
        <v>1771</v>
      </c>
      <c r="AE30" s="318">
        <v>825</v>
      </c>
      <c r="AF30" s="318">
        <v>60</v>
      </c>
      <c r="AG30" s="318">
        <v>1960</v>
      </c>
      <c r="AH30" s="318" t="s">
        <v>800</v>
      </c>
      <c r="AI30" s="318">
        <v>1960</v>
      </c>
      <c r="AJ30" s="318" t="s">
        <v>800</v>
      </c>
      <c r="AK30" s="318">
        <v>2006</v>
      </c>
      <c r="AL30" s="318"/>
      <c r="AM30" s="317">
        <f t="shared" ref="AM30:AM40" si="82">DB30+EV30</f>
        <v>152570.00157787188</v>
      </c>
      <c r="AN30" s="318" t="s">
        <v>800</v>
      </c>
      <c r="AO30" s="511">
        <f t="shared" ref="AO30:AO40" si="83">EI30+EZ30</f>
        <v>152570.00157787188</v>
      </c>
      <c r="AP30" s="511">
        <f t="shared" ref="AP30:AP40" si="84">AM30-AO30</f>
        <v>0</v>
      </c>
      <c r="AQ30" s="511">
        <f t="shared" ref="AQ30:AQ40" si="85">ET30+FA30</f>
        <v>0</v>
      </c>
      <c r="AR30" s="511">
        <f t="shared" ref="AR30:AR40" si="86">AP30-AQ30</f>
        <v>0</v>
      </c>
      <c r="AS30" s="511">
        <f>HLOOKUP($C$1,'Inflation Adjustments'!$BI$3:$BT$4,2)*CQ30</f>
        <v>2315289.1781249996</v>
      </c>
      <c r="AT30" s="511">
        <f>IF(BU30="In Service",'Maintenace Cost Assumptions'!$B$3*AS30,0)</f>
        <v>11576.445890624998</v>
      </c>
      <c r="AU30" s="318">
        <v>3</v>
      </c>
      <c r="AV30" s="318">
        <v>2</v>
      </c>
      <c r="AW30" s="318">
        <v>2</v>
      </c>
      <c r="AX30" s="318">
        <v>3</v>
      </c>
      <c r="AY30" s="318">
        <v>2</v>
      </c>
      <c r="AZ30" s="318">
        <v>3</v>
      </c>
      <c r="BA30" s="318">
        <v>3</v>
      </c>
      <c r="BB30" s="318"/>
      <c r="BC30" s="318"/>
      <c r="BD30" s="318"/>
      <c r="BE30" s="318">
        <v>4</v>
      </c>
      <c r="BF30" s="318"/>
      <c r="BG30" s="332">
        <f>(AU30*'Condition rating weights'!H$8+AV30*'Condition rating weights'!I$8+AW30*'Condition rating weights'!J$8+AX30*'Condition rating weights'!K$8+AY30*'Condition rating weights'!L$8+AZ30*'Condition rating weights'!M$8+BA30*'Condition rating weights'!N$8+BB30*'Condition rating weights'!O$8+BC30*'Condition rating weights'!P$8+BD30*'Condition rating weights'!Q$8+BE30*'Condition rating weights'!R$8+BF30*'Condition rating weights'!S$8)/100</f>
        <v>0.59</v>
      </c>
      <c r="BH30" s="333">
        <v>1</v>
      </c>
      <c r="BI30" s="333">
        <v>221</v>
      </c>
      <c r="BJ30" s="333" t="s">
        <v>12</v>
      </c>
      <c r="BK30" s="333" t="s">
        <v>959</v>
      </c>
      <c r="BL30" s="333" t="s">
        <v>960</v>
      </c>
      <c r="BM30" s="333" t="s">
        <v>961</v>
      </c>
      <c r="BN30" s="333" t="s">
        <v>117</v>
      </c>
      <c r="BO30" s="333" t="s">
        <v>962</v>
      </c>
      <c r="BP30" s="333" t="s">
        <v>962</v>
      </c>
      <c r="BQ30" s="333" t="s">
        <v>963</v>
      </c>
      <c r="BR30" s="333" t="s">
        <v>964</v>
      </c>
      <c r="BS30" s="333" t="s">
        <v>964</v>
      </c>
      <c r="BT30" s="334" t="s">
        <v>965</v>
      </c>
      <c r="BU30" s="335" t="s">
        <v>1429</v>
      </c>
      <c r="BV30" s="282"/>
      <c r="BW30" s="282"/>
      <c r="BX30" s="282"/>
      <c r="BY30" s="282"/>
      <c r="BZ30" s="282"/>
      <c r="CA30" s="282"/>
      <c r="CB30" s="282"/>
      <c r="CC30" s="282"/>
      <c r="CD30" s="282"/>
      <c r="CE30" s="282"/>
      <c r="CF30" s="282"/>
      <c r="CG30" s="351">
        <f t="shared" si="5"/>
        <v>165000</v>
      </c>
      <c r="CH30" s="351">
        <f t="shared" si="6"/>
        <v>660000</v>
      </c>
      <c r="CI30" s="351">
        <f t="shared" si="7"/>
        <v>82500</v>
      </c>
      <c r="CJ30" s="351">
        <f t="shared" si="8"/>
        <v>123750</v>
      </c>
      <c r="CK30" s="351">
        <f t="shared" si="9"/>
        <v>206250</v>
      </c>
      <c r="CL30" s="351">
        <f t="shared" si="10"/>
        <v>82500</v>
      </c>
      <c r="CM30" s="351">
        <f t="shared" si="11"/>
        <v>66000</v>
      </c>
      <c r="CN30" s="351">
        <f t="shared" si="12"/>
        <v>66000</v>
      </c>
      <c r="CO30" s="351">
        <f t="shared" si="13"/>
        <v>82500</v>
      </c>
      <c r="CP30" s="351">
        <f t="shared" si="14"/>
        <v>16500</v>
      </c>
      <c r="CQ30" s="352">
        <f t="shared" ref="CQ30:CQ46" si="87">SUM(CG30:CP30)</f>
        <v>1551000</v>
      </c>
      <c r="CR30" s="353">
        <f>(HLOOKUP($AI30,'Inflation Adjustments'!$B$3:$BT$4,2,TRUE))*CG30</f>
        <v>16230.851231688501</v>
      </c>
      <c r="CS30" s="353">
        <f>(HLOOKUP($AI30,'Inflation Adjustments'!$B$3:$BT$4,2,TRUE))*CH30</f>
        <v>64923.404926754003</v>
      </c>
      <c r="CT30" s="353">
        <f>(HLOOKUP($AI30,'Inflation Adjustments'!$B$3:$BT$4,2,TRUE))*CI30</f>
        <v>8115.4256158442504</v>
      </c>
      <c r="CU30" s="353">
        <f>(HLOOKUP($AI30,'Inflation Adjustments'!$B$3:$BT$4,2,TRUE))*CJ30</f>
        <v>12173.138423766375</v>
      </c>
      <c r="CV30" s="353">
        <f>(HLOOKUP($AI30,'Inflation Adjustments'!$B$3:$BT$4,2,TRUE))*CK30</f>
        <v>20288.564039610625</v>
      </c>
      <c r="CW30" s="353">
        <f>(HLOOKUP($AI30,'Inflation Adjustments'!$B$3:$BT$4,2,TRUE))*CL30</f>
        <v>8115.4256158442504</v>
      </c>
      <c r="CX30" s="353">
        <f>(HLOOKUP($AI30,'Inflation Adjustments'!$B$3:$BT$4,2,TRUE))*CM30</f>
        <v>6492.3404926754001</v>
      </c>
      <c r="CY30" s="353">
        <f>(HLOOKUP($AI30,'Inflation Adjustments'!$B$3:$BT$4,2,TRUE))*CN30</f>
        <v>6492.3404926754001</v>
      </c>
      <c r="CZ30" s="353">
        <f>(HLOOKUP($AI30,'Inflation Adjustments'!$B$3:$BT$4,2,TRUE))*CO30</f>
        <v>8115.4256158442504</v>
      </c>
      <c r="DA30" s="353">
        <f>(HLOOKUP($AI30,'Inflation Adjustments'!$B$3:$BT$4,2,TRUE))*CP30</f>
        <v>1623.08512316885</v>
      </c>
      <c r="DB30" s="353">
        <f t="shared" si="39"/>
        <v>152570.00157787188</v>
      </c>
      <c r="DC30" s="354">
        <f t="shared" si="54"/>
        <v>62</v>
      </c>
      <c r="DD30" s="351">
        <f t="shared" si="16"/>
        <v>60</v>
      </c>
      <c r="DE30" s="351">
        <f t="shared" si="17"/>
        <v>60</v>
      </c>
      <c r="DF30" s="351">
        <f t="shared" si="18"/>
        <v>10</v>
      </c>
      <c r="DG30" s="351">
        <f t="shared" si="19"/>
        <v>20</v>
      </c>
      <c r="DH30" s="351">
        <f t="shared" si="20"/>
        <v>40</v>
      </c>
      <c r="DI30" s="351">
        <f t="shared" si="21"/>
        <v>20</v>
      </c>
      <c r="DJ30" s="351">
        <f t="shared" si="22"/>
        <v>10</v>
      </c>
      <c r="DK30" s="351">
        <f t="shared" si="23"/>
        <v>10</v>
      </c>
      <c r="DL30" s="351">
        <f t="shared" si="24"/>
        <v>20</v>
      </c>
      <c r="DM30" s="351">
        <f t="shared" si="25"/>
        <v>20</v>
      </c>
      <c r="DN30" s="355">
        <f t="shared" ref="DN30:DN46" si="88">CR30/DD30</f>
        <v>270.51418719480836</v>
      </c>
      <c r="DO30" s="355">
        <f t="shared" ref="DO30:DO46" si="89">CS30/DE30</f>
        <v>1082.0567487792334</v>
      </c>
      <c r="DP30" s="355">
        <f t="shared" ref="DP30:DP46" si="90">CT30/DF30</f>
        <v>811.54256158442502</v>
      </c>
      <c r="DQ30" s="355">
        <f t="shared" ref="DQ30:DQ46" si="91">CU30/DG30</f>
        <v>608.65692118831873</v>
      </c>
      <c r="DR30" s="355">
        <f t="shared" ref="DR30:DR46" si="92">CV30/DH30</f>
        <v>507.21410099026559</v>
      </c>
      <c r="DS30" s="355">
        <f t="shared" ref="DS30:DS46" si="93">CW30/DI30</f>
        <v>405.77128079221251</v>
      </c>
      <c r="DT30" s="355">
        <f t="shared" ref="DT30:DT46" si="94">CX30/DJ30</f>
        <v>649.23404926754006</v>
      </c>
      <c r="DU30" s="355">
        <f t="shared" ref="DU30:DU46" si="95">CY30/DK30</f>
        <v>649.23404926754006</v>
      </c>
      <c r="DV30" s="355">
        <f t="shared" ref="DV30:DV46" si="96">CZ30/DL30</f>
        <v>405.77128079221251</v>
      </c>
      <c r="DW30" s="355">
        <f t="shared" ref="DW30:DW46" si="97">DA30/DM30</f>
        <v>81.154256158442507</v>
      </c>
      <c r="DX30" s="355">
        <f t="shared" ref="DX30:DX46" si="98">SUM(DN30:DW30)</f>
        <v>5471.149436015</v>
      </c>
      <c r="DY30" s="351">
        <f t="shared" ref="DY30:DY46" si="99">IF(DN30*$DC30&gt;CR30,CR30,DN30*$DC30)</f>
        <v>16230.851231688501</v>
      </c>
      <c r="DZ30" s="351">
        <f t="shared" ref="DZ30:DZ46" si="100">IF(DO30*$DC30&gt;CS30,CS30,DO30*$DC30)</f>
        <v>64923.404926754003</v>
      </c>
      <c r="EA30" s="351">
        <f t="shared" ref="EA30:EA46" si="101">IF(DP30*$DC30&gt;CT30,CT30,DP30*$DC30)</f>
        <v>8115.4256158442504</v>
      </c>
      <c r="EB30" s="351">
        <f t="shared" ref="EB30:EB46" si="102">IF(DQ30*$DC30&gt;CU30,CU30,DQ30*$DC30)</f>
        <v>12173.138423766375</v>
      </c>
      <c r="EC30" s="351">
        <f t="shared" ref="EC30:EC46" si="103">IF(DR30*$DC30&gt;CV30,CV30,DR30*$DC30)</f>
        <v>20288.564039610625</v>
      </c>
      <c r="ED30" s="351">
        <f t="shared" ref="ED30:ED46" si="104">IF(DS30*$DC30&gt;CW30,CW30,DS30*$DC30)</f>
        <v>8115.4256158442504</v>
      </c>
      <c r="EE30" s="351">
        <f t="shared" ref="EE30:EE46" si="105">IF(DT30*$DC30&gt;CX30,CX30,DT30*$DC30)</f>
        <v>6492.3404926754001</v>
      </c>
      <c r="EF30" s="351">
        <f t="shared" ref="EF30:EF46" si="106">IF(DU30*$DC30&gt;CY30,CY30,DU30*$DC30)</f>
        <v>6492.3404926754001</v>
      </c>
      <c r="EG30" s="351">
        <f t="shared" ref="EG30:EG46" si="107">IF(DV30*$DC30&gt;CZ30,CZ30,DV30*$DC30)</f>
        <v>8115.4256158442504</v>
      </c>
      <c r="EH30" s="351">
        <f t="shared" ref="EH30:EH46" si="108">IF(DW30*$DC30&gt;DA30,DA30,DW30*$DC30)</f>
        <v>1623.08512316885</v>
      </c>
      <c r="EI30" s="352">
        <f t="shared" ref="EI30:EI46" si="109">SUM(DY30:EH30)</f>
        <v>152570.00157787188</v>
      </c>
      <c r="EJ30" s="355">
        <f t="shared" ref="EJ30:EJ46" si="110">IF(DN30&lt;(CR30-DY30),DN30,(CR30-DY30))</f>
        <v>0</v>
      </c>
      <c r="EK30" s="355">
        <f t="shared" ref="EK30:EK46" si="111">IF(DO30&lt;(CS30-DZ30),DO30,(CS30-DZ30))</f>
        <v>0</v>
      </c>
      <c r="EL30" s="355">
        <f t="shared" ref="EL30:EL46" si="112">IF(DP30&lt;(CT30-EA30),DP30,(CT30-EA30))</f>
        <v>0</v>
      </c>
      <c r="EM30" s="355">
        <f t="shared" ref="EM30:EM46" si="113">IF(DQ30&lt;(CU30-EB30),DQ30,(CU30-EB30))</f>
        <v>0</v>
      </c>
      <c r="EN30" s="355">
        <f t="shared" ref="EN30:EN46" si="114">IF(DR30&lt;(CV30-EC30),DR30,(CV30-EC30))</f>
        <v>0</v>
      </c>
      <c r="EO30" s="355">
        <f t="shared" ref="EO30:EO46" si="115">IF(DS30&lt;(CW30-ED30),DS30,(CW30-ED30))</f>
        <v>0</v>
      </c>
      <c r="EP30" s="355">
        <f t="shared" ref="EP30:EP46" si="116">IF(DT30&lt;(CX30-EE30),DT30,(CX30-EE30))</f>
        <v>0</v>
      </c>
      <c r="EQ30" s="355">
        <f t="shared" ref="EQ30:EQ46" si="117">IF(DU30&lt;(CY30-EF30),DU30,(CY30-EF30))</f>
        <v>0</v>
      </c>
      <c r="ER30" s="355">
        <f t="shared" ref="ER30:ER46" si="118">IF(DV30&lt;(CZ30-EG30),DV30,(CZ30-EG30))</f>
        <v>0</v>
      </c>
      <c r="ES30" s="355">
        <f t="shared" ref="ES30:ES46" si="119">IF(DW30&lt;(DA30-EH30),DW30,(DA30-EH30))</f>
        <v>0</v>
      </c>
      <c r="ET30" s="353">
        <f t="shared" ref="ET30:ET46" si="120">SUM(EJ30:ES30)</f>
        <v>0</v>
      </c>
      <c r="EU30" s="358"/>
      <c r="EV30" s="358"/>
      <c r="EW30" s="358"/>
      <c r="EX30" s="358"/>
      <c r="EY30" s="358"/>
      <c r="EZ30" s="358"/>
      <c r="FA30" s="358"/>
      <c r="FC30" s="630" t="s">
        <v>1609</v>
      </c>
      <c r="FD30" s="630"/>
      <c r="FE30" s="630"/>
      <c r="FF30" s="630"/>
      <c r="FG30" s="630"/>
    </row>
    <row r="31" spans="1:165" ht="35" customHeight="1" x14ac:dyDescent="0.3">
      <c r="A31" s="330" t="s">
        <v>1742</v>
      </c>
      <c r="B31" s="318" t="s">
        <v>1372</v>
      </c>
      <c r="C31" s="318" t="s">
        <v>72</v>
      </c>
      <c r="D31" s="318" t="s">
        <v>321</v>
      </c>
      <c r="E31" s="318" t="s">
        <v>8</v>
      </c>
      <c r="F31" s="318" t="s">
        <v>271</v>
      </c>
      <c r="G31" s="318" t="s">
        <v>880</v>
      </c>
      <c r="H31" s="318" t="s">
        <v>909</v>
      </c>
      <c r="I31" s="318" t="s">
        <v>910</v>
      </c>
      <c r="J31" s="318" t="s">
        <v>1045</v>
      </c>
      <c r="K31" s="318" t="s">
        <v>1047</v>
      </c>
      <c r="L31" s="318" t="s">
        <v>1055</v>
      </c>
      <c r="M31" s="318" t="s">
        <v>1064</v>
      </c>
      <c r="N31" s="318" t="s">
        <v>1069</v>
      </c>
      <c r="O31" s="318" t="s">
        <v>1072</v>
      </c>
      <c r="P31" s="318" t="s">
        <v>1079</v>
      </c>
      <c r="Q31" s="318" t="s">
        <v>1080</v>
      </c>
      <c r="R31" s="318" t="s">
        <v>1085</v>
      </c>
      <c r="S31" s="318" t="s">
        <v>1089</v>
      </c>
      <c r="T31" s="318" t="s">
        <v>102</v>
      </c>
      <c r="U31" s="318" t="s">
        <v>102</v>
      </c>
      <c r="V31" s="318" t="s">
        <v>102</v>
      </c>
      <c r="W31" s="318" t="s">
        <v>102</v>
      </c>
      <c r="X31" s="318" t="s">
        <v>102</v>
      </c>
      <c r="Y31" s="318" t="s">
        <v>102</v>
      </c>
      <c r="Z31" s="318" t="s">
        <v>102</v>
      </c>
      <c r="AA31" s="318" t="s">
        <v>102</v>
      </c>
      <c r="AB31" s="318" t="s">
        <v>102</v>
      </c>
      <c r="AC31" s="318" t="s">
        <v>102</v>
      </c>
      <c r="AD31" s="318" t="s">
        <v>1771</v>
      </c>
      <c r="AE31" s="318">
        <v>210</v>
      </c>
      <c r="AF31" s="318">
        <v>40</v>
      </c>
      <c r="AG31" s="318">
        <v>1960</v>
      </c>
      <c r="AH31" s="318" t="s">
        <v>800</v>
      </c>
      <c r="AI31" s="318">
        <v>1960</v>
      </c>
      <c r="AJ31" s="318" t="s">
        <v>800</v>
      </c>
      <c r="AK31" s="318">
        <v>2008</v>
      </c>
      <c r="AL31" s="318"/>
      <c r="AM31" s="317">
        <f t="shared" si="82"/>
        <v>81605.893943887975</v>
      </c>
      <c r="AN31" s="318" t="s">
        <v>800</v>
      </c>
      <c r="AO31" s="511">
        <f t="shared" si="83"/>
        <v>71605.893943887975</v>
      </c>
      <c r="AP31" s="511">
        <f t="shared" si="84"/>
        <v>10000</v>
      </c>
      <c r="AQ31" s="511">
        <f t="shared" si="85"/>
        <v>2500</v>
      </c>
      <c r="AR31" s="511">
        <f t="shared" si="86"/>
        <v>7500</v>
      </c>
      <c r="AS31" s="511">
        <f>HLOOKUP($C$1,'Inflation Adjustments'!$BI$3:$BT$4,2)*CQ31</f>
        <v>479627.60343749996</v>
      </c>
      <c r="AT31" s="511">
        <f>IF(BU31="In Service",'Maintenace Cost Assumptions'!$B$3*AS31,0)</f>
        <v>2398.1380171874998</v>
      </c>
      <c r="AU31" s="318">
        <v>3</v>
      </c>
      <c r="AV31" s="318">
        <v>3</v>
      </c>
      <c r="AW31" s="318">
        <v>3</v>
      </c>
      <c r="AX31" s="318">
        <v>3</v>
      </c>
      <c r="AY31" s="318">
        <v>3</v>
      </c>
      <c r="AZ31" s="318">
        <v>3</v>
      </c>
      <c r="BA31" s="318">
        <v>3</v>
      </c>
      <c r="BB31" s="318"/>
      <c r="BC31" s="318"/>
      <c r="BD31" s="318"/>
      <c r="BE31" s="318">
        <v>4</v>
      </c>
      <c r="BF31" s="318"/>
      <c r="BG31" s="332">
        <f>(AU31*'Condition rating weights'!H$8+AV31*'Condition rating weights'!I$8+AW31*'Condition rating weights'!J$8+AX31*'Condition rating weights'!K$8+AY31*'Condition rating weights'!L$8+AZ31*'Condition rating weights'!M$8+BA31*'Condition rating weights'!N$8+BB31*'Condition rating weights'!O$8+BC31*'Condition rating weights'!P$8+BD31*'Condition rating weights'!Q$8+BE31*'Condition rating weights'!R$8+BF31*'Condition rating weights'!S$8)/100</f>
        <v>0.66</v>
      </c>
      <c r="BH31" s="333">
        <v>1</v>
      </c>
      <c r="BI31" s="333">
        <v>111</v>
      </c>
      <c r="BJ31" s="333" t="s">
        <v>12</v>
      </c>
      <c r="BK31" s="333" t="s">
        <v>959</v>
      </c>
      <c r="BL31" s="333" t="s">
        <v>960</v>
      </c>
      <c r="BM31" s="333" t="s">
        <v>961</v>
      </c>
      <c r="BN31" s="333" t="s">
        <v>117</v>
      </c>
      <c r="BO31" s="333" t="s">
        <v>962</v>
      </c>
      <c r="BP31" s="333" t="s">
        <v>962</v>
      </c>
      <c r="BQ31" s="333" t="s">
        <v>963</v>
      </c>
      <c r="BR31" s="333" t="s">
        <v>964</v>
      </c>
      <c r="BS31" s="333" t="s">
        <v>964</v>
      </c>
      <c r="BT31" s="334" t="s">
        <v>965</v>
      </c>
      <c r="BU31" s="335" t="s">
        <v>1429</v>
      </c>
      <c r="BV31" s="282"/>
      <c r="BW31" s="282"/>
      <c r="BX31" s="282"/>
      <c r="BY31" s="282"/>
      <c r="BZ31" s="282"/>
      <c r="CA31" s="282"/>
      <c r="CB31" s="282"/>
      <c r="CC31" s="282"/>
      <c r="CD31" s="282"/>
      <c r="CE31" s="282"/>
      <c r="CF31" s="282"/>
      <c r="CG31" s="351">
        <f t="shared" si="5"/>
        <v>31500</v>
      </c>
      <c r="CH31" s="351">
        <f t="shared" si="6"/>
        <v>105000</v>
      </c>
      <c r="CI31" s="351">
        <f t="shared" si="7"/>
        <v>21000</v>
      </c>
      <c r="CJ31" s="351">
        <f t="shared" si="8"/>
        <v>31500</v>
      </c>
      <c r="CK31" s="351">
        <f t="shared" si="9"/>
        <v>52500</v>
      </c>
      <c r="CL31" s="351">
        <f t="shared" si="10"/>
        <v>21000</v>
      </c>
      <c r="CM31" s="351">
        <f t="shared" si="11"/>
        <v>16800</v>
      </c>
      <c r="CN31" s="351">
        <f t="shared" si="12"/>
        <v>16800</v>
      </c>
      <c r="CO31" s="351">
        <f t="shared" si="13"/>
        <v>21000</v>
      </c>
      <c r="CP31" s="351">
        <f t="shared" si="14"/>
        <v>4200</v>
      </c>
      <c r="CQ31" s="352">
        <f t="shared" si="87"/>
        <v>321300</v>
      </c>
      <c r="CR31" s="353">
        <f>(HLOOKUP($AI31,'Inflation Adjustments'!$B$3:$BT$4,2,TRUE))*CG31</f>
        <v>3098.6170533223503</v>
      </c>
      <c r="CS31" s="353">
        <f>(HLOOKUP($AI31,'Inflation Adjustments'!$B$3:$BT$4,2,TRUE))*CH31</f>
        <v>10328.7235110745</v>
      </c>
      <c r="CT31" s="353">
        <f>(HLOOKUP($AI31,'Inflation Adjustments'!$B$3:$BT$4,2,TRUE))*CI31</f>
        <v>2065.7447022148999</v>
      </c>
      <c r="CU31" s="353">
        <f>(HLOOKUP($AI31,'Inflation Adjustments'!$B$3:$BT$4,2,TRUE))*CJ31</f>
        <v>3098.6170533223503</v>
      </c>
      <c r="CV31" s="353">
        <f>(HLOOKUP($AI31,'Inflation Adjustments'!$B$3:$BT$4,2,TRUE))*CK31</f>
        <v>5164.3617555372502</v>
      </c>
      <c r="CW31" s="353">
        <f>(HLOOKUP($AI31,'Inflation Adjustments'!$B$3:$BT$4,2,TRUE))*CL31</f>
        <v>2065.7447022148999</v>
      </c>
      <c r="CX31" s="353">
        <f>(HLOOKUP($AI31,'Inflation Adjustments'!$B$3:$BT$4,2,TRUE))*CM31</f>
        <v>1652.59576177192</v>
      </c>
      <c r="CY31" s="353">
        <f>(HLOOKUP($AI31,'Inflation Adjustments'!$B$3:$BT$4,2,TRUE))*CN31</f>
        <v>1652.59576177192</v>
      </c>
      <c r="CZ31" s="353">
        <f>(HLOOKUP($AI31,'Inflation Adjustments'!$B$3:$BT$4,2,TRUE))*CO31</f>
        <v>2065.7447022148999</v>
      </c>
      <c r="DA31" s="353">
        <f>(HLOOKUP($AI31,'Inflation Adjustments'!$B$3:$BT$4,2,TRUE))*CP31</f>
        <v>413.14894044298001</v>
      </c>
      <c r="DB31" s="353">
        <f t="shared" si="39"/>
        <v>31605.893943887972</v>
      </c>
      <c r="DC31" s="354">
        <f t="shared" si="54"/>
        <v>62</v>
      </c>
      <c r="DD31" s="351">
        <f t="shared" si="16"/>
        <v>40</v>
      </c>
      <c r="DE31" s="351">
        <f t="shared" si="17"/>
        <v>40</v>
      </c>
      <c r="DF31" s="351">
        <f t="shared" si="18"/>
        <v>10</v>
      </c>
      <c r="DG31" s="351">
        <f t="shared" si="19"/>
        <v>20</v>
      </c>
      <c r="DH31" s="351">
        <f t="shared" si="20"/>
        <v>40</v>
      </c>
      <c r="DI31" s="351">
        <f t="shared" si="21"/>
        <v>20</v>
      </c>
      <c r="DJ31" s="351">
        <f t="shared" si="22"/>
        <v>10</v>
      </c>
      <c r="DK31" s="351">
        <f t="shared" si="23"/>
        <v>10</v>
      </c>
      <c r="DL31" s="351">
        <f t="shared" si="24"/>
        <v>20</v>
      </c>
      <c r="DM31" s="351">
        <f t="shared" si="25"/>
        <v>20</v>
      </c>
      <c r="DN31" s="355">
        <f t="shared" si="88"/>
        <v>77.465426333058758</v>
      </c>
      <c r="DO31" s="355">
        <f t="shared" si="89"/>
        <v>258.21808777686249</v>
      </c>
      <c r="DP31" s="355">
        <f t="shared" si="90"/>
        <v>206.57447022149</v>
      </c>
      <c r="DQ31" s="355">
        <f t="shared" si="91"/>
        <v>154.93085266611752</v>
      </c>
      <c r="DR31" s="355">
        <f t="shared" si="92"/>
        <v>129.10904388843124</v>
      </c>
      <c r="DS31" s="355">
        <f t="shared" si="93"/>
        <v>103.287235110745</v>
      </c>
      <c r="DT31" s="355">
        <f t="shared" si="94"/>
        <v>165.259576177192</v>
      </c>
      <c r="DU31" s="355">
        <f t="shared" si="95"/>
        <v>165.259576177192</v>
      </c>
      <c r="DV31" s="355">
        <f t="shared" si="96"/>
        <v>103.287235110745</v>
      </c>
      <c r="DW31" s="355">
        <f t="shared" si="97"/>
        <v>20.657447022149</v>
      </c>
      <c r="DX31" s="355">
        <f t="shared" si="98"/>
        <v>1384.0489504839829</v>
      </c>
      <c r="DY31" s="351">
        <f t="shared" si="99"/>
        <v>3098.6170533223503</v>
      </c>
      <c r="DZ31" s="351">
        <f t="shared" si="100"/>
        <v>10328.7235110745</v>
      </c>
      <c r="EA31" s="351">
        <f t="shared" si="101"/>
        <v>2065.7447022148999</v>
      </c>
      <c r="EB31" s="351">
        <f t="shared" si="102"/>
        <v>3098.6170533223503</v>
      </c>
      <c r="EC31" s="351">
        <f t="shared" si="103"/>
        <v>5164.3617555372502</v>
      </c>
      <c r="ED31" s="351">
        <f t="shared" si="104"/>
        <v>2065.7447022148999</v>
      </c>
      <c r="EE31" s="351">
        <f t="shared" si="105"/>
        <v>1652.59576177192</v>
      </c>
      <c r="EF31" s="351">
        <f t="shared" si="106"/>
        <v>1652.59576177192</v>
      </c>
      <c r="EG31" s="351">
        <f t="shared" si="107"/>
        <v>2065.7447022148999</v>
      </c>
      <c r="EH31" s="351">
        <f t="shared" si="108"/>
        <v>413.14894044298001</v>
      </c>
      <c r="EI31" s="352">
        <f t="shared" si="109"/>
        <v>31605.893943887972</v>
      </c>
      <c r="EJ31" s="355">
        <f t="shared" si="110"/>
        <v>0</v>
      </c>
      <c r="EK31" s="355">
        <f t="shared" si="111"/>
        <v>0</v>
      </c>
      <c r="EL31" s="355">
        <f t="shared" si="112"/>
        <v>0</v>
      </c>
      <c r="EM31" s="355">
        <f t="shared" si="113"/>
        <v>0</v>
      </c>
      <c r="EN31" s="355">
        <f t="shared" si="114"/>
        <v>0</v>
      </c>
      <c r="EO31" s="355">
        <f t="shared" si="115"/>
        <v>0</v>
      </c>
      <c r="EP31" s="355">
        <f t="shared" si="116"/>
        <v>0</v>
      </c>
      <c r="EQ31" s="355">
        <f t="shared" si="117"/>
        <v>0</v>
      </c>
      <c r="ER31" s="355">
        <f t="shared" si="118"/>
        <v>0</v>
      </c>
      <c r="ES31" s="355">
        <f t="shared" si="119"/>
        <v>0</v>
      </c>
      <c r="ET31" s="353">
        <f t="shared" si="120"/>
        <v>0</v>
      </c>
      <c r="EU31" s="356">
        <v>2006</v>
      </c>
      <c r="EV31" s="358">
        <v>50000</v>
      </c>
      <c r="EW31" s="356">
        <v>20</v>
      </c>
      <c r="EX31" s="358">
        <f>$C$1-1-EU31</f>
        <v>16</v>
      </c>
      <c r="EY31" s="358">
        <f>EV31/EW31</f>
        <v>2500</v>
      </c>
      <c r="EZ31" s="358">
        <f>IF(EX31*EY31&lt;EV31,EX31*EY31,EV31)</f>
        <v>40000</v>
      </c>
      <c r="FA31" s="351">
        <f>IF(EY31&lt;(EV31-EZ31),EY31,(E85-EZ31))</f>
        <v>2500</v>
      </c>
    </row>
    <row r="32" spans="1:165" ht="35" customHeight="1" x14ac:dyDescent="0.3">
      <c r="A32" s="330" t="s">
        <v>1743</v>
      </c>
      <c r="B32" s="318" t="s">
        <v>1092</v>
      </c>
      <c r="C32" s="318" t="s">
        <v>72</v>
      </c>
      <c r="D32" s="318" t="s">
        <v>321</v>
      </c>
      <c r="E32" s="318" t="s">
        <v>8</v>
      </c>
      <c r="F32" s="318" t="s">
        <v>274</v>
      </c>
      <c r="G32" s="318" t="s">
        <v>880</v>
      </c>
      <c r="H32" s="318" t="s">
        <v>911</v>
      </c>
      <c r="I32" s="318" t="s">
        <v>912</v>
      </c>
      <c r="J32" s="318" t="s">
        <v>1045</v>
      </c>
      <c r="K32" s="318" t="s">
        <v>1048</v>
      </c>
      <c r="L32" s="318" t="s">
        <v>1055</v>
      </c>
      <c r="M32" s="318" t="s">
        <v>1059</v>
      </c>
      <c r="N32" s="318" t="s">
        <v>1069</v>
      </c>
      <c r="O32" s="318" t="s">
        <v>1371</v>
      </c>
      <c r="P32" s="318" t="s">
        <v>1079</v>
      </c>
      <c r="Q32" s="318" t="s">
        <v>1080</v>
      </c>
      <c r="R32" s="318" t="s">
        <v>1085</v>
      </c>
      <c r="S32" s="318" t="s">
        <v>1089</v>
      </c>
      <c r="T32" s="318" t="s">
        <v>102</v>
      </c>
      <c r="U32" s="318" t="s">
        <v>102</v>
      </c>
      <c r="V32" s="318" t="s">
        <v>102</v>
      </c>
      <c r="W32" s="318" t="s">
        <v>102</v>
      </c>
      <c r="X32" s="318" t="s">
        <v>102</v>
      </c>
      <c r="Y32" s="318" t="s">
        <v>102</v>
      </c>
      <c r="Z32" s="318" t="s">
        <v>102</v>
      </c>
      <c r="AA32" s="318" t="s">
        <v>102</v>
      </c>
      <c r="AB32" s="318" t="s">
        <v>102</v>
      </c>
      <c r="AC32" s="318" t="s">
        <v>102</v>
      </c>
      <c r="AD32" s="318" t="s">
        <v>1771</v>
      </c>
      <c r="AE32" s="318">
        <v>155</v>
      </c>
      <c r="AF32" s="318">
        <v>40</v>
      </c>
      <c r="AG32" s="318">
        <v>1972</v>
      </c>
      <c r="AH32" s="318" t="s">
        <v>800</v>
      </c>
      <c r="AI32" s="318">
        <v>2010</v>
      </c>
      <c r="AJ32" s="318" t="s">
        <v>800</v>
      </c>
      <c r="AK32" s="318"/>
      <c r="AL32" s="318"/>
      <c r="AM32" s="317">
        <f t="shared" si="82"/>
        <v>252940.58571360429</v>
      </c>
      <c r="AN32" s="318" t="s">
        <v>800</v>
      </c>
      <c r="AO32" s="511">
        <f t="shared" si="83"/>
        <v>134745.96108276502</v>
      </c>
      <c r="AP32" s="511">
        <f t="shared" si="84"/>
        <v>118194.62463083927</v>
      </c>
      <c r="AQ32" s="511">
        <f t="shared" si="85"/>
        <v>7938.2771335018151</v>
      </c>
      <c r="AR32" s="511">
        <f t="shared" si="86"/>
        <v>110256.34749733745</v>
      </c>
      <c r="AS32" s="511">
        <f>HLOOKUP($C$1,'Inflation Adjustments'!$BI$3:$BT$4,2)*CQ32</f>
        <v>354010.85015624994</v>
      </c>
      <c r="AT32" s="511">
        <f>IF(BU32="In Service",'Maintenace Cost Assumptions'!$B$3*AS32,0)</f>
        <v>1770.0542507812497</v>
      </c>
      <c r="AU32" s="318">
        <v>3</v>
      </c>
      <c r="AV32" s="318">
        <v>3</v>
      </c>
      <c r="AW32" s="318">
        <v>3</v>
      </c>
      <c r="AX32" s="318">
        <v>3</v>
      </c>
      <c r="AY32" s="318">
        <v>3</v>
      </c>
      <c r="AZ32" s="318">
        <v>3</v>
      </c>
      <c r="BA32" s="318">
        <v>3</v>
      </c>
      <c r="BB32" s="318"/>
      <c r="BC32" s="318"/>
      <c r="BD32" s="318"/>
      <c r="BE32" s="318">
        <v>4</v>
      </c>
      <c r="BF32" s="318"/>
      <c r="BG32" s="332">
        <f>(AU32*'Condition rating weights'!H$8+AV32*'Condition rating weights'!I$8+AW32*'Condition rating weights'!J$8+AX32*'Condition rating weights'!K$8+AY32*'Condition rating weights'!L$8+AZ32*'Condition rating weights'!M$8+BA32*'Condition rating weights'!N$8+BB32*'Condition rating weights'!O$8+BC32*'Condition rating weights'!P$8+BD32*'Condition rating weights'!Q$8+BE32*'Condition rating weights'!R$8+BF32*'Condition rating weights'!S$8)/100</f>
        <v>0.66</v>
      </c>
      <c r="BH32" s="333">
        <v>1</v>
      </c>
      <c r="BI32" s="333">
        <v>211</v>
      </c>
      <c r="BJ32" s="333" t="s">
        <v>12</v>
      </c>
      <c r="BK32" s="333" t="s">
        <v>959</v>
      </c>
      <c r="BL32" s="333" t="s">
        <v>960</v>
      </c>
      <c r="BM32" s="333" t="s">
        <v>961</v>
      </c>
      <c r="BN32" s="333" t="s">
        <v>117</v>
      </c>
      <c r="BO32" s="333" t="s">
        <v>962</v>
      </c>
      <c r="BP32" s="333" t="s">
        <v>962</v>
      </c>
      <c r="BQ32" s="333" t="s">
        <v>963</v>
      </c>
      <c r="BR32" s="333" t="s">
        <v>964</v>
      </c>
      <c r="BS32" s="333" t="s">
        <v>964</v>
      </c>
      <c r="BT32" s="334" t="s">
        <v>965</v>
      </c>
      <c r="BU32" s="335" t="s">
        <v>1429</v>
      </c>
      <c r="BV32" s="282"/>
      <c r="BW32" s="282"/>
      <c r="BX32" s="282"/>
      <c r="BY32" s="282"/>
      <c r="BZ32" s="282"/>
      <c r="CA32" s="282"/>
      <c r="CB32" s="282"/>
      <c r="CC32" s="282"/>
      <c r="CD32" s="282"/>
      <c r="CE32" s="282"/>
      <c r="CF32" s="282"/>
      <c r="CG32" s="351">
        <f t="shared" si="5"/>
        <v>23250</v>
      </c>
      <c r="CH32" s="351">
        <f t="shared" si="6"/>
        <v>77500</v>
      </c>
      <c r="CI32" s="351">
        <f t="shared" si="7"/>
        <v>15500</v>
      </c>
      <c r="CJ32" s="351">
        <f t="shared" si="8"/>
        <v>23250</v>
      </c>
      <c r="CK32" s="351">
        <f t="shared" si="9"/>
        <v>38750</v>
      </c>
      <c r="CL32" s="351">
        <f t="shared" si="10"/>
        <v>15500</v>
      </c>
      <c r="CM32" s="351">
        <f t="shared" si="11"/>
        <v>12400</v>
      </c>
      <c r="CN32" s="351">
        <f t="shared" si="12"/>
        <v>12400</v>
      </c>
      <c r="CO32" s="351">
        <f t="shared" si="13"/>
        <v>15500</v>
      </c>
      <c r="CP32" s="351">
        <f t="shared" si="14"/>
        <v>3100</v>
      </c>
      <c r="CQ32" s="352">
        <f t="shared" si="87"/>
        <v>237150</v>
      </c>
      <c r="CR32" s="353">
        <f>(HLOOKUP($AI32,'Inflation Adjustments'!$B$3:$BT$4,2,TRUE))*CG32</f>
        <v>19896.135854274933</v>
      </c>
      <c r="CS32" s="353">
        <f>(HLOOKUP($AI32,'Inflation Adjustments'!$B$3:$BT$4,2,TRUE))*CH32</f>
        <v>66320.452847583103</v>
      </c>
      <c r="CT32" s="353">
        <f>(HLOOKUP($AI32,'Inflation Adjustments'!$B$3:$BT$4,2,TRUE))*CI32</f>
        <v>13264.090569516622</v>
      </c>
      <c r="CU32" s="353">
        <f>(HLOOKUP($AI32,'Inflation Adjustments'!$B$3:$BT$4,2,TRUE))*CJ32</f>
        <v>19896.135854274933</v>
      </c>
      <c r="CV32" s="353">
        <f>(HLOOKUP($AI32,'Inflation Adjustments'!$B$3:$BT$4,2,TRUE))*CK32</f>
        <v>33160.226423791551</v>
      </c>
      <c r="CW32" s="353">
        <f>(HLOOKUP($AI32,'Inflation Adjustments'!$B$3:$BT$4,2,TRUE))*CL32</f>
        <v>13264.090569516622</v>
      </c>
      <c r="CX32" s="353">
        <f>(HLOOKUP($AI32,'Inflation Adjustments'!$B$3:$BT$4,2,TRUE))*CM32</f>
        <v>10611.272455613298</v>
      </c>
      <c r="CY32" s="353">
        <f>(HLOOKUP($AI32,'Inflation Adjustments'!$B$3:$BT$4,2,TRUE))*CN32</f>
        <v>10611.272455613298</v>
      </c>
      <c r="CZ32" s="353">
        <f>(HLOOKUP($AI32,'Inflation Adjustments'!$B$3:$BT$4,2,TRUE))*CO32</f>
        <v>13264.090569516622</v>
      </c>
      <c r="DA32" s="353">
        <f>(HLOOKUP($AI32,'Inflation Adjustments'!$B$3:$BT$4,2,TRUE))*CP32</f>
        <v>2652.8181139033245</v>
      </c>
      <c r="DB32" s="353">
        <f t="shared" si="39"/>
        <v>202940.58571360429</v>
      </c>
      <c r="DC32" s="354">
        <f t="shared" si="54"/>
        <v>12</v>
      </c>
      <c r="DD32" s="351">
        <f t="shared" si="16"/>
        <v>40</v>
      </c>
      <c r="DE32" s="351">
        <f t="shared" si="17"/>
        <v>40</v>
      </c>
      <c r="DF32" s="351">
        <f t="shared" si="18"/>
        <v>10</v>
      </c>
      <c r="DG32" s="351">
        <f t="shared" si="19"/>
        <v>20</v>
      </c>
      <c r="DH32" s="351">
        <f t="shared" si="20"/>
        <v>40</v>
      </c>
      <c r="DI32" s="351">
        <f t="shared" si="21"/>
        <v>20</v>
      </c>
      <c r="DJ32" s="351">
        <f t="shared" si="22"/>
        <v>10</v>
      </c>
      <c r="DK32" s="351">
        <f t="shared" si="23"/>
        <v>10</v>
      </c>
      <c r="DL32" s="351">
        <f t="shared" si="24"/>
        <v>20</v>
      </c>
      <c r="DM32" s="351">
        <f t="shared" si="25"/>
        <v>20</v>
      </c>
      <c r="DN32" s="355">
        <f t="shared" si="88"/>
        <v>497.40339635687332</v>
      </c>
      <c r="DO32" s="355">
        <f t="shared" si="89"/>
        <v>1658.0113211895775</v>
      </c>
      <c r="DP32" s="355">
        <f t="shared" si="90"/>
        <v>1326.4090569516623</v>
      </c>
      <c r="DQ32" s="355">
        <f t="shared" si="91"/>
        <v>994.80679271374663</v>
      </c>
      <c r="DR32" s="355">
        <f t="shared" si="92"/>
        <v>829.00566059478876</v>
      </c>
      <c r="DS32" s="355">
        <f t="shared" si="93"/>
        <v>663.20452847583113</v>
      </c>
      <c r="DT32" s="355">
        <f t="shared" si="94"/>
        <v>1061.1272455613298</v>
      </c>
      <c r="DU32" s="355">
        <f t="shared" si="95"/>
        <v>1061.1272455613298</v>
      </c>
      <c r="DV32" s="355">
        <f t="shared" si="96"/>
        <v>663.20452847583113</v>
      </c>
      <c r="DW32" s="355">
        <f t="shared" si="97"/>
        <v>132.64090569516623</v>
      </c>
      <c r="DX32" s="355">
        <f t="shared" si="98"/>
        <v>8886.9406815761376</v>
      </c>
      <c r="DY32" s="351">
        <f t="shared" si="99"/>
        <v>5968.8407562824796</v>
      </c>
      <c r="DZ32" s="351">
        <f t="shared" si="100"/>
        <v>19896.135854274929</v>
      </c>
      <c r="EA32" s="351">
        <f t="shared" si="101"/>
        <v>13264.090569516622</v>
      </c>
      <c r="EB32" s="351">
        <f t="shared" si="102"/>
        <v>11937.681512564959</v>
      </c>
      <c r="EC32" s="351">
        <f t="shared" si="103"/>
        <v>9948.0679271374647</v>
      </c>
      <c r="ED32" s="351">
        <f t="shared" si="104"/>
        <v>7958.454341709974</v>
      </c>
      <c r="EE32" s="351">
        <f t="shared" si="105"/>
        <v>10611.272455613298</v>
      </c>
      <c r="EF32" s="351">
        <f t="shared" si="106"/>
        <v>10611.272455613298</v>
      </c>
      <c r="EG32" s="351">
        <f t="shared" si="107"/>
        <v>7958.454341709974</v>
      </c>
      <c r="EH32" s="351">
        <f t="shared" si="108"/>
        <v>1591.6908683419947</v>
      </c>
      <c r="EI32" s="352">
        <f t="shared" si="109"/>
        <v>99745.961082765003</v>
      </c>
      <c r="EJ32" s="355">
        <f t="shared" si="110"/>
        <v>497.40339635687332</v>
      </c>
      <c r="EK32" s="355">
        <f t="shared" si="111"/>
        <v>1658.0113211895775</v>
      </c>
      <c r="EL32" s="355">
        <f t="shared" si="112"/>
        <v>0</v>
      </c>
      <c r="EM32" s="355">
        <f t="shared" si="113"/>
        <v>994.80679271374663</v>
      </c>
      <c r="EN32" s="355">
        <f t="shared" si="114"/>
        <v>829.00566059478876</v>
      </c>
      <c r="EO32" s="355">
        <f t="shared" si="115"/>
        <v>663.20452847583113</v>
      </c>
      <c r="EP32" s="355">
        <f t="shared" si="116"/>
        <v>0</v>
      </c>
      <c r="EQ32" s="355">
        <f t="shared" si="117"/>
        <v>0</v>
      </c>
      <c r="ER32" s="355">
        <f t="shared" si="118"/>
        <v>663.20452847583113</v>
      </c>
      <c r="ES32" s="355">
        <f t="shared" si="119"/>
        <v>132.64090569516623</v>
      </c>
      <c r="ET32" s="353">
        <f t="shared" si="120"/>
        <v>5438.2771335018151</v>
      </c>
      <c r="EU32" s="356">
        <v>2008</v>
      </c>
      <c r="EV32" s="358">
        <v>50000</v>
      </c>
      <c r="EW32" s="356">
        <v>20</v>
      </c>
      <c r="EX32" s="358">
        <f>$C$1-1-EU32</f>
        <v>14</v>
      </c>
      <c r="EY32" s="358">
        <f>EV32/EW32</f>
        <v>2500</v>
      </c>
      <c r="EZ32" s="358">
        <f>IF(EX32*EY32&lt;EV32,EX32*EY32,EV32)</f>
        <v>35000</v>
      </c>
      <c r="FA32" s="351">
        <f>IF(EY32&lt;(EV32-EZ32),EY32,(E86-EZ32))</f>
        <v>2500</v>
      </c>
    </row>
    <row r="33" spans="1:164" ht="35" customHeight="1" x14ac:dyDescent="0.3">
      <c r="A33" s="330" t="s">
        <v>1744</v>
      </c>
      <c r="B33" s="318" t="s">
        <v>1094</v>
      </c>
      <c r="C33" s="318" t="s">
        <v>72</v>
      </c>
      <c r="D33" s="318" t="s">
        <v>321</v>
      </c>
      <c r="E33" s="318" t="s">
        <v>8</v>
      </c>
      <c r="F33" s="318" t="s">
        <v>276</v>
      </c>
      <c r="G33" s="318" t="s">
        <v>880</v>
      </c>
      <c r="H33" s="318" t="s">
        <v>913</v>
      </c>
      <c r="I33" s="318" t="s">
        <v>906</v>
      </c>
      <c r="J33" s="318" t="s">
        <v>1045</v>
      </c>
      <c r="K33" s="318" t="s">
        <v>1048</v>
      </c>
      <c r="L33" s="318" t="s">
        <v>1055</v>
      </c>
      <c r="M33" s="318" t="s">
        <v>1059</v>
      </c>
      <c r="N33" s="318" t="s">
        <v>1069</v>
      </c>
      <c r="O33" s="318" t="s">
        <v>1072</v>
      </c>
      <c r="P33" s="318" t="s">
        <v>1079</v>
      </c>
      <c r="Q33" s="318" t="s">
        <v>1080</v>
      </c>
      <c r="R33" s="318" t="s">
        <v>1085</v>
      </c>
      <c r="S33" s="318" t="s">
        <v>1089</v>
      </c>
      <c r="T33" s="318" t="s">
        <v>102</v>
      </c>
      <c r="U33" s="318" t="s">
        <v>102</v>
      </c>
      <c r="V33" s="318" t="s">
        <v>102</v>
      </c>
      <c r="W33" s="318" t="s">
        <v>102</v>
      </c>
      <c r="X33" s="318" t="s">
        <v>102</v>
      </c>
      <c r="Y33" s="318" t="s">
        <v>102</v>
      </c>
      <c r="Z33" s="318" t="s">
        <v>102</v>
      </c>
      <c r="AA33" s="318" t="s">
        <v>102</v>
      </c>
      <c r="AB33" s="318" t="s">
        <v>102</v>
      </c>
      <c r="AC33" s="318" t="s">
        <v>102</v>
      </c>
      <c r="AD33" s="318" t="s">
        <v>1771</v>
      </c>
      <c r="AE33" s="318">
        <v>345</v>
      </c>
      <c r="AF33" s="318">
        <v>40</v>
      </c>
      <c r="AG33" s="318">
        <v>1972</v>
      </c>
      <c r="AH33" s="318" t="s">
        <v>800</v>
      </c>
      <c r="AI33" s="318">
        <v>2010</v>
      </c>
      <c r="AJ33" s="318" t="s">
        <v>800</v>
      </c>
      <c r="AK33" s="318"/>
      <c r="AL33" s="318"/>
      <c r="AM33" s="317">
        <f t="shared" si="82"/>
        <v>451706.46497544186</v>
      </c>
      <c r="AN33" s="318" t="s">
        <v>800</v>
      </c>
      <c r="AO33" s="511">
        <f t="shared" si="83"/>
        <v>222015.20370034789</v>
      </c>
      <c r="AP33" s="511">
        <f t="shared" si="84"/>
        <v>229691.26127509397</v>
      </c>
      <c r="AQ33" s="511">
        <f t="shared" si="85"/>
        <v>12104.552329407266</v>
      </c>
      <c r="AR33" s="511">
        <f t="shared" si="86"/>
        <v>217586.7089456867</v>
      </c>
      <c r="AS33" s="511">
        <f>HLOOKUP($C$1,'Inflation Adjustments'!$BI$3:$BT$4,2)*CQ33</f>
        <v>787959.63421874994</v>
      </c>
      <c r="AT33" s="511">
        <f>IF(BU33="In Service",'Maintenace Cost Assumptions'!$B$3*AS33,0)</f>
        <v>3939.7981710937497</v>
      </c>
      <c r="AU33" s="318">
        <v>3</v>
      </c>
      <c r="AV33" s="318">
        <v>3</v>
      </c>
      <c r="AW33" s="318">
        <v>3</v>
      </c>
      <c r="AX33" s="318">
        <v>3</v>
      </c>
      <c r="AY33" s="318">
        <v>3</v>
      </c>
      <c r="AZ33" s="318">
        <v>3</v>
      </c>
      <c r="BA33" s="318">
        <v>3</v>
      </c>
      <c r="BB33" s="318"/>
      <c r="BC33" s="318"/>
      <c r="BD33" s="318"/>
      <c r="BE33" s="318">
        <v>4</v>
      </c>
      <c r="BF33" s="318"/>
      <c r="BG33" s="332">
        <f>(AU33*'Condition rating weights'!H$8+AV33*'Condition rating weights'!I$8+AW33*'Condition rating weights'!J$8+AX33*'Condition rating weights'!K$8+AY33*'Condition rating weights'!L$8+AZ33*'Condition rating weights'!M$8+BA33*'Condition rating weights'!N$8+BB33*'Condition rating weights'!O$8+BC33*'Condition rating weights'!P$8+BD33*'Condition rating weights'!Q$8+BE33*'Condition rating weights'!R$8+BF33*'Condition rating weights'!S$8)/100</f>
        <v>0.66</v>
      </c>
      <c r="BH33" s="333">
        <v>1</v>
      </c>
      <c r="BI33" s="333">
        <v>211</v>
      </c>
      <c r="BJ33" s="333" t="s">
        <v>12</v>
      </c>
      <c r="BK33" s="333" t="s">
        <v>959</v>
      </c>
      <c r="BL33" s="333" t="s">
        <v>960</v>
      </c>
      <c r="BM33" s="333" t="s">
        <v>961</v>
      </c>
      <c r="BN33" s="333" t="s">
        <v>117</v>
      </c>
      <c r="BO33" s="333" t="s">
        <v>962</v>
      </c>
      <c r="BP33" s="333" t="s">
        <v>962</v>
      </c>
      <c r="BQ33" s="333" t="s">
        <v>963</v>
      </c>
      <c r="BR33" s="333" t="s">
        <v>964</v>
      </c>
      <c r="BS33" s="333" t="s">
        <v>964</v>
      </c>
      <c r="BT33" s="334" t="s">
        <v>965</v>
      </c>
      <c r="BU33" s="335" t="s">
        <v>1429</v>
      </c>
      <c r="BV33" s="282"/>
      <c r="BW33" s="282"/>
      <c r="BX33" s="282"/>
      <c r="BY33" s="282"/>
      <c r="BZ33" s="282"/>
      <c r="CA33" s="282"/>
      <c r="CB33" s="282"/>
      <c r="CC33" s="282"/>
      <c r="CD33" s="282"/>
      <c r="CE33" s="282"/>
      <c r="CF33" s="282"/>
      <c r="CG33" s="351">
        <f t="shared" si="5"/>
        <v>51750</v>
      </c>
      <c r="CH33" s="351">
        <f t="shared" si="6"/>
        <v>172500</v>
      </c>
      <c r="CI33" s="351">
        <f t="shared" si="7"/>
        <v>34500</v>
      </c>
      <c r="CJ33" s="351">
        <f t="shared" si="8"/>
        <v>51750</v>
      </c>
      <c r="CK33" s="351">
        <f t="shared" si="9"/>
        <v>86250</v>
      </c>
      <c r="CL33" s="351">
        <f t="shared" si="10"/>
        <v>34500</v>
      </c>
      <c r="CM33" s="351">
        <f t="shared" si="11"/>
        <v>27600</v>
      </c>
      <c r="CN33" s="351">
        <f t="shared" si="12"/>
        <v>27600</v>
      </c>
      <c r="CO33" s="351">
        <f t="shared" si="13"/>
        <v>34500</v>
      </c>
      <c r="CP33" s="351">
        <f t="shared" si="14"/>
        <v>6900</v>
      </c>
      <c r="CQ33" s="352">
        <f t="shared" si="87"/>
        <v>527850</v>
      </c>
      <c r="CR33" s="353">
        <f>(HLOOKUP($AI33,'Inflation Adjustments'!$B$3:$BT$4,2,TRUE))*CG33</f>
        <v>44284.947546611947</v>
      </c>
      <c r="CS33" s="353">
        <f>(HLOOKUP($AI33,'Inflation Adjustments'!$B$3:$BT$4,2,TRUE))*CH33</f>
        <v>147616.49182203982</v>
      </c>
      <c r="CT33" s="353">
        <f>(HLOOKUP($AI33,'Inflation Adjustments'!$B$3:$BT$4,2,TRUE))*CI33</f>
        <v>29523.298364407965</v>
      </c>
      <c r="CU33" s="353">
        <f>(HLOOKUP($AI33,'Inflation Adjustments'!$B$3:$BT$4,2,TRUE))*CJ33</f>
        <v>44284.947546611947</v>
      </c>
      <c r="CV33" s="353">
        <f>(HLOOKUP($AI33,'Inflation Adjustments'!$B$3:$BT$4,2,TRUE))*CK33</f>
        <v>73808.245911019912</v>
      </c>
      <c r="CW33" s="353">
        <f>(HLOOKUP($AI33,'Inflation Adjustments'!$B$3:$BT$4,2,TRUE))*CL33</f>
        <v>29523.298364407965</v>
      </c>
      <c r="CX33" s="353">
        <f>(HLOOKUP($AI33,'Inflation Adjustments'!$B$3:$BT$4,2,TRUE))*CM33</f>
        <v>23618.638691526372</v>
      </c>
      <c r="CY33" s="353">
        <f>(HLOOKUP($AI33,'Inflation Adjustments'!$B$3:$BT$4,2,TRUE))*CN33</f>
        <v>23618.638691526372</v>
      </c>
      <c r="CZ33" s="353">
        <f>(HLOOKUP($AI33,'Inflation Adjustments'!$B$3:$BT$4,2,TRUE))*CO33</f>
        <v>29523.298364407965</v>
      </c>
      <c r="DA33" s="353">
        <f>(HLOOKUP($AI33,'Inflation Adjustments'!$B$3:$BT$4,2,TRUE))*CP33</f>
        <v>5904.659672881593</v>
      </c>
      <c r="DB33" s="353">
        <f t="shared" si="39"/>
        <v>451706.46497544186</v>
      </c>
      <c r="DC33" s="354">
        <f t="shared" si="54"/>
        <v>12</v>
      </c>
      <c r="DD33" s="351">
        <f t="shared" si="16"/>
        <v>40</v>
      </c>
      <c r="DE33" s="351">
        <f t="shared" si="17"/>
        <v>40</v>
      </c>
      <c r="DF33" s="351">
        <f t="shared" si="18"/>
        <v>10</v>
      </c>
      <c r="DG33" s="351">
        <f t="shared" si="19"/>
        <v>20</v>
      </c>
      <c r="DH33" s="351">
        <f t="shared" si="20"/>
        <v>40</v>
      </c>
      <c r="DI33" s="351">
        <f t="shared" si="21"/>
        <v>20</v>
      </c>
      <c r="DJ33" s="351">
        <f t="shared" si="22"/>
        <v>10</v>
      </c>
      <c r="DK33" s="351">
        <f t="shared" si="23"/>
        <v>10</v>
      </c>
      <c r="DL33" s="351">
        <f t="shared" si="24"/>
        <v>20</v>
      </c>
      <c r="DM33" s="351">
        <f t="shared" si="25"/>
        <v>20</v>
      </c>
      <c r="DN33" s="355">
        <f t="shared" si="88"/>
        <v>1107.1236886652987</v>
      </c>
      <c r="DO33" s="355">
        <f t="shared" si="89"/>
        <v>3690.4122955509956</v>
      </c>
      <c r="DP33" s="355">
        <f t="shared" si="90"/>
        <v>2952.3298364407965</v>
      </c>
      <c r="DQ33" s="355">
        <f t="shared" si="91"/>
        <v>2214.2473773305974</v>
      </c>
      <c r="DR33" s="355">
        <f t="shared" si="92"/>
        <v>1845.2061477754978</v>
      </c>
      <c r="DS33" s="355">
        <f t="shared" si="93"/>
        <v>1476.1649182203982</v>
      </c>
      <c r="DT33" s="355">
        <f t="shared" si="94"/>
        <v>2361.8638691526371</v>
      </c>
      <c r="DU33" s="355">
        <f t="shared" si="95"/>
        <v>2361.8638691526371</v>
      </c>
      <c r="DV33" s="355">
        <f t="shared" si="96"/>
        <v>1476.1649182203982</v>
      </c>
      <c r="DW33" s="355">
        <f t="shared" si="97"/>
        <v>295.23298364407964</v>
      </c>
      <c r="DX33" s="355">
        <f t="shared" si="98"/>
        <v>19780.609904153338</v>
      </c>
      <c r="DY33" s="351">
        <f t="shared" si="99"/>
        <v>13285.484263983584</v>
      </c>
      <c r="DZ33" s="351">
        <f t="shared" si="100"/>
        <v>44284.947546611947</v>
      </c>
      <c r="EA33" s="351">
        <f t="shared" si="101"/>
        <v>29523.298364407965</v>
      </c>
      <c r="EB33" s="351">
        <f t="shared" si="102"/>
        <v>26570.968527967168</v>
      </c>
      <c r="EC33" s="351">
        <f t="shared" si="103"/>
        <v>22142.473773305974</v>
      </c>
      <c r="ED33" s="351">
        <f t="shared" si="104"/>
        <v>17713.979018644779</v>
      </c>
      <c r="EE33" s="351">
        <f t="shared" si="105"/>
        <v>23618.638691526372</v>
      </c>
      <c r="EF33" s="351">
        <f t="shared" si="106"/>
        <v>23618.638691526372</v>
      </c>
      <c r="EG33" s="351">
        <f t="shared" si="107"/>
        <v>17713.979018644779</v>
      </c>
      <c r="EH33" s="351">
        <f t="shared" si="108"/>
        <v>3542.7958037289554</v>
      </c>
      <c r="EI33" s="352">
        <f t="shared" si="109"/>
        <v>222015.20370034789</v>
      </c>
      <c r="EJ33" s="355">
        <f t="shared" si="110"/>
        <v>1107.1236886652987</v>
      </c>
      <c r="EK33" s="355">
        <f t="shared" si="111"/>
        <v>3690.4122955509956</v>
      </c>
      <c r="EL33" s="355">
        <f t="shared" si="112"/>
        <v>0</v>
      </c>
      <c r="EM33" s="355">
        <f t="shared" si="113"/>
        <v>2214.2473773305974</v>
      </c>
      <c r="EN33" s="355">
        <f t="shared" si="114"/>
        <v>1845.2061477754978</v>
      </c>
      <c r="EO33" s="355">
        <f t="shared" si="115"/>
        <v>1476.1649182203982</v>
      </c>
      <c r="EP33" s="355">
        <f t="shared" si="116"/>
        <v>0</v>
      </c>
      <c r="EQ33" s="355">
        <f t="shared" si="117"/>
        <v>0</v>
      </c>
      <c r="ER33" s="355">
        <f t="shared" si="118"/>
        <v>1476.1649182203982</v>
      </c>
      <c r="ES33" s="355">
        <f t="shared" si="119"/>
        <v>295.23298364407964</v>
      </c>
      <c r="ET33" s="353">
        <f t="shared" si="120"/>
        <v>12104.552329407266</v>
      </c>
      <c r="EU33" s="358"/>
      <c r="EV33" s="358"/>
      <c r="EW33" s="358"/>
      <c r="EX33" s="358"/>
      <c r="EY33" s="358"/>
      <c r="EZ33" s="358"/>
      <c r="FA33" s="351"/>
    </row>
    <row r="34" spans="1:164" ht="35" customHeight="1" x14ac:dyDescent="0.3">
      <c r="A34" s="330" t="s">
        <v>1745</v>
      </c>
      <c r="B34" s="318" t="s">
        <v>1093</v>
      </c>
      <c r="C34" s="318" t="s">
        <v>72</v>
      </c>
      <c r="D34" s="318" t="s">
        <v>321</v>
      </c>
      <c r="E34" s="318" t="s">
        <v>8</v>
      </c>
      <c r="F34" s="318" t="s">
        <v>280</v>
      </c>
      <c r="G34" s="318" t="s">
        <v>880</v>
      </c>
      <c r="H34" s="318" t="s">
        <v>914</v>
      </c>
      <c r="I34" s="318" t="s">
        <v>915</v>
      </c>
      <c r="J34" s="318" t="s">
        <v>1045</v>
      </c>
      <c r="K34" s="318" t="s">
        <v>1050</v>
      </c>
      <c r="L34" s="318" t="s">
        <v>1055</v>
      </c>
      <c r="M34" s="318"/>
      <c r="N34" s="318" t="s">
        <v>117</v>
      </c>
      <c r="O34" s="318" t="s">
        <v>1073</v>
      </c>
      <c r="P34" s="318" t="s">
        <v>117</v>
      </c>
      <c r="Q34" s="318" t="s">
        <v>1080</v>
      </c>
      <c r="R34" s="318"/>
      <c r="S34" s="318" t="s">
        <v>1089</v>
      </c>
      <c r="T34" s="318" t="s">
        <v>102</v>
      </c>
      <c r="U34" s="318" t="s">
        <v>102</v>
      </c>
      <c r="V34" s="318" t="s">
        <v>102</v>
      </c>
      <c r="W34" s="318" t="s">
        <v>102</v>
      </c>
      <c r="X34" s="318" t="s">
        <v>102</v>
      </c>
      <c r="Y34" s="318" t="s">
        <v>102</v>
      </c>
      <c r="Z34" s="318" t="s">
        <v>102</v>
      </c>
      <c r="AA34" s="318" t="s">
        <v>102</v>
      </c>
      <c r="AB34" s="318" t="s">
        <v>102</v>
      </c>
      <c r="AC34" s="318" t="s">
        <v>102</v>
      </c>
      <c r="AD34" s="318" t="s">
        <v>1771</v>
      </c>
      <c r="AE34" s="318">
        <v>600</v>
      </c>
      <c r="AF34" s="318">
        <v>40</v>
      </c>
      <c r="AG34" s="318">
        <v>1972</v>
      </c>
      <c r="AH34" s="318" t="s">
        <v>800</v>
      </c>
      <c r="AI34" s="318">
        <v>2010</v>
      </c>
      <c r="AJ34" s="318" t="s">
        <v>800</v>
      </c>
      <c r="AK34" s="318"/>
      <c r="AL34" s="318"/>
      <c r="AM34" s="317">
        <f t="shared" si="82"/>
        <v>785576.46082685527</v>
      </c>
      <c r="AN34" s="318" t="s">
        <v>800</v>
      </c>
      <c r="AO34" s="511">
        <f t="shared" si="83"/>
        <v>386113.39773973555</v>
      </c>
      <c r="AP34" s="511">
        <f t="shared" si="84"/>
        <v>399463.06308711972</v>
      </c>
      <c r="AQ34" s="511">
        <f t="shared" si="85"/>
        <v>21051.395355490899</v>
      </c>
      <c r="AR34" s="511">
        <f t="shared" si="86"/>
        <v>378411.66773162881</v>
      </c>
      <c r="AS34" s="511">
        <f>HLOOKUP($C$1,'Inflation Adjustments'!$BI$3:$BT$4,2)*CQ34</f>
        <v>1370364.5812499998</v>
      </c>
      <c r="AT34" s="511">
        <f>IF(BU34="In Service",'Maintenace Cost Assumptions'!$B$3*AS34,0)</f>
        <v>6851.8229062499995</v>
      </c>
      <c r="AU34" s="318">
        <v>3</v>
      </c>
      <c r="AV34" s="318">
        <v>3</v>
      </c>
      <c r="AW34" s="318">
        <v>3</v>
      </c>
      <c r="AX34" s="318">
        <v>3</v>
      </c>
      <c r="AY34" s="318">
        <v>3</v>
      </c>
      <c r="AZ34" s="318">
        <v>3</v>
      </c>
      <c r="BA34" s="318">
        <v>3</v>
      </c>
      <c r="BB34" s="318"/>
      <c r="BC34" s="318"/>
      <c r="BD34" s="318"/>
      <c r="BE34" s="318">
        <v>3</v>
      </c>
      <c r="BF34" s="318"/>
      <c r="BG34" s="332">
        <f>(AU34*'Condition rating weights'!H$8+AV34*'Condition rating weights'!I$8+AW34*'Condition rating weights'!J$8+AX34*'Condition rating weights'!K$8+AY34*'Condition rating weights'!L$8+AZ34*'Condition rating weights'!M$8+BA34*'Condition rating weights'!N$8+BB34*'Condition rating weights'!O$8+BC34*'Condition rating weights'!P$8+BD34*'Condition rating weights'!Q$8+BE34*'Condition rating weights'!R$8+BF34*'Condition rating weights'!S$8)/100</f>
        <v>0.6</v>
      </c>
      <c r="BH34" s="333">
        <v>1</v>
      </c>
      <c r="BI34" s="333">
        <v>511</v>
      </c>
      <c r="BJ34" s="333" t="s">
        <v>12</v>
      </c>
      <c r="BK34" s="333" t="s">
        <v>959</v>
      </c>
      <c r="BL34" s="333" t="s">
        <v>960</v>
      </c>
      <c r="BM34" s="333" t="s">
        <v>961</v>
      </c>
      <c r="BN34" s="333" t="s">
        <v>117</v>
      </c>
      <c r="BO34" s="333" t="s">
        <v>962</v>
      </c>
      <c r="BP34" s="333" t="s">
        <v>962</v>
      </c>
      <c r="BQ34" s="333" t="s">
        <v>963</v>
      </c>
      <c r="BR34" s="333" t="s">
        <v>964</v>
      </c>
      <c r="BS34" s="333" t="s">
        <v>964</v>
      </c>
      <c r="BT34" s="334" t="s">
        <v>965</v>
      </c>
      <c r="BU34" s="335" t="s">
        <v>1429</v>
      </c>
      <c r="BV34" s="282"/>
      <c r="BW34" s="282"/>
      <c r="BX34" s="282"/>
      <c r="BY34" s="282"/>
      <c r="BZ34" s="282"/>
      <c r="CA34" s="282"/>
      <c r="CB34" s="282"/>
      <c r="CC34" s="282"/>
      <c r="CD34" s="282"/>
      <c r="CE34" s="282"/>
      <c r="CF34" s="282"/>
      <c r="CG34" s="351">
        <f t="shared" si="5"/>
        <v>90000</v>
      </c>
      <c r="CH34" s="351">
        <f t="shared" si="6"/>
        <v>300000</v>
      </c>
      <c r="CI34" s="351">
        <f t="shared" si="7"/>
        <v>60000</v>
      </c>
      <c r="CJ34" s="351">
        <f t="shared" si="8"/>
        <v>90000</v>
      </c>
      <c r="CK34" s="351">
        <f t="shared" si="9"/>
        <v>150000</v>
      </c>
      <c r="CL34" s="351">
        <f t="shared" si="10"/>
        <v>60000</v>
      </c>
      <c r="CM34" s="351">
        <f t="shared" si="11"/>
        <v>48000</v>
      </c>
      <c r="CN34" s="351">
        <f t="shared" si="12"/>
        <v>48000</v>
      </c>
      <c r="CO34" s="351">
        <f t="shared" si="13"/>
        <v>60000</v>
      </c>
      <c r="CP34" s="351">
        <f t="shared" si="14"/>
        <v>12000</v>
      </c>
      <c r="CQ34" s="352">
        <f t="shared" si="87"/>
        <v>918000</v>
      </c>
      <c r="CR34" s="353">
        <f>(HLOOKUP($AI34,'Inflation Adjustments'!$B$3:$BT$4,2,TRUE))*CG34</f>
        <v>77017.300081064255</v>
      </c>
      <c r="CS34" s="353">
        <f>(HLOOKUP($AI34,'Inflation Adjustments'!$B$3:$BT$4,2,TRUE))*CH34</f>
        <v>256724.33360354751</v>
      </c>
      <c r="CT34" s="353">
        <f>(HLOOKUP($AI34,'Inflation Adjustments'!$B$3:$BT$4,2,TRUE))*CI34</f>
        <v>51344.866720709506</v>
      </c>
      <c r="CU34" s="353">
        <f>(HLOOKUP($AI34,'Inflation Adjustments'!$B$3:$BT$4,2,TRUE))*CJ34</f>
        <v>77017.300081064255</v>
      </c>
      <c r="CV34" s="353">
        <f>(HLOOKUP($AI34,'Inflation Adjustments'!$B$3:$BT$4,2,TRUE))*CK34</f>
        <v>128362.16680177375</v>
      </c>
      <c r="CW34" s="353">
        <f>(HLOOKUP($AI34,'Inflation Adjustments'!$B$3:$BT$4,2,TRUE))*CL34</f>
        <v>51344.866720709506</v>
      </c>
      <c r="CX34" s="353">
        <f>(HLOOKUP($AI34,'Inflation Adjustments'!$B$3:$BT$4,2,TRUE))*CM34</f>
        <v>41075.893376567605</v>
      </c>
      <c r="CY34" s="353">
        <f>(HLOOKUP($AI34,'Inflation Adjustments'!$B$3:$BT$4,2,TRUE))*CN34</f>
        <v>41075.893376567605</v>
      </c>
      <c r="CZ34" s="353">
        <f>(HLOOKUP($AI34,'Inflation Adjustments'!$B$3:$BT$4,2,TRUE))*CO34</f>
        <v>51344.866720709506</v>
      </c>
      <c r="DA34" s="353">
        <f>(HLOOKUP($AI34,'Inflation Adjustments'!$B$3:$BT$4,2,TRUE))*CP34</f>
        <v>10268.973344141901</v>
      </c>
      <c r="DB34" s="353">
        <f t="shared" si="39"/>
        <v>785576.46082685527</v>
      </c>
      <c r="DC34" s="354">
        <f t="shared" si="54"/>
        <v>12</v>
      </c>
      <c r="DD34" s="351">
        <f t="shared" si="16"/>
        <v>40</v>
      </c>
      <c r="DE34" s="351">
        <f t="shared" si="17"/>
        <v>40</v>
      </c>
      <c r="DF34" s="351">
        <f t="shared" si="18"/>
        <v>10</v>
      </c>
      <c r="DG34" s="351">
        <f t="shared" si="19"/>
        <v>20</v>
      </c>
      <c r="DH34" s="351">
        <f t="shared" si="20"/>
        <v>40</v>
      </c>
      <c r="DI34" s="351">
        <f t="shared" si="21"/>
        <v>20</v>
      </c>
      <c r="DJ34" s="351">
        <f t="shared" si="22"/>
        <v>10</v>
      </c>
      <c r="DK34" s="351">
        <f t="shared" si="23"/>
        <v>10</v>
      </c>
      <c r="DL34" s="351">
        <f t="shared" si="24"/>
        <v>20</v>
      </c>
      <c r="DM34" s="351">
        <f t="shared" si="25"/>
        <v>20</v>
      </c>
      <c r="DN34" s="355">
        <f t="shared" si="88"/>
        <v>1925.4325020266065</v>
      </c>
      <c r="DO34" s="355">
        <f t="shared" si="89"/>
        <v>6418.1083400886873</v>
      </c>
      <c r="DP34" s="355">
        <f t="shared" si="90"/>
        <v>5134.4866720709506</v>
      </c>
      <c r="DQ34" s="355">
        <f t="shared" si="91"/>
        <v>3850.8650040532129</v>
      </c>
      <c r="DR34" s="355">
        <f t="shared" si="92"/>
        <v>3209.0541700443437</v>
      </c>
      <c r="DS34" s="355">
        <f t="shared" si="93"/>
        <v>2567.2433360354753</v>
      </c>
      <c r="DT34" s="355">
        <f t="shared" si="94"/>
        <v>4107.5893376567601</v>
      </c>
      <c r="DU34" s="355">
        <f t="shared" si="95"/>
        <v>4107.5893376567601</v>
      </c>
      <c r="DV34" s="355">
        <f t="shared" si="96"/>
        <v>2567.2433360354753</v>
      </c>
      <c r="DW34" s="355">
        <f t="shared" si="97"/>
        <v>513.44866720709501</v>
      </c>
      <c r="DX34" s="355">
        <f t="shared" si="98"/>
        <v>34401.060702875366</v>
      </c>
      <c r="DY34" s="351">
        <f t="shared" si="99"/>
        <v>23105.190024319279</v>
      </c>
      <c r="DZ34" s="351">
        <f t="shared" si="100"/>
        <v>77017.300081064255</v>
      </c>
      <c r="EA34" s="351">
        <f t="shared" si="101"/>
        <v>51344.866720709506</v>
      </c>
      <c r="EB34" s="351">
        <f t="shared" si="102"/>
        <v>46210.380048638559</v>
      </c>
      <c r="EC34" s="351">
        <f t="shared" si="103"/>
        <v>38508.650040532128</v>
      </c>
      <c r="ED34" s="351">
        <f t="shared" si="104"/>
        <v>30806.920032425704</v>
      </c>
      <c r="EE34" s="351">
        <f t="shared" si="105"/>
        <v>41075.893376567605</v>
      </c>
      <c r="EF34" s="351">
        <f t="shared" si="106"/>
        <v>41075.893376567605</v>
      </c>
      <c r="EG34" s="351">
        <f t="shared" si="107"/>
        <v>30806.920032425704</v>
      </c>
      <c r="EH34" s="351">
        <f t="shared" si="108"/>
        <v>6161.3840064851402</v>
      </c>
      <c r="EI34" s="352">
        <f t="shared" si="109"/>
        <v>386113.39773973555</v>
      </c>
      <c r="EJ34" s="355">
        <f t="shared" si="110"/>
        <v>1925.4325020266065</v>
      </c>
      <c r="EK34" s="355">
        <f t="shared" si="111"/>
        <v>6418.1083400886873</v>
      </c>
      <c r="EL34" s="355">
        <f t="shared" si="112"/>
        <v>0</v>
      </c>
      <c r="EM34" s="355">
        <f t="shared" si="113"/>
        <v>3850.8650040532129</v>
      </c>
      <c r="EN34" s="355">
        <f t="shared" si="114"/>
        <v>3209.0541700443437</v>
      </c>
      <c r="EO34" s="355">
        <f t="shared" si="115"/>
        <v>2567.2433360354753</v>
      </c>
      <c r="EP34" s="355">
        <f t="shared" si="116"/>
        <v>0</v>
      </c>
      <c r="EQ34" s="355">
        <f t="shared" si="117"/>
        <v>0</v>
      </c>
      <c r="ER34" s="355">
        <f t="shared" si="118"/>
        <v>2567.2433360354753</v>
      </c>
      <c r="ES34" s="355">
        <f t="shared" si="119"/>
        <v>513.44866720709501</v>
      </c>
      <c r="ET34" s="353">
        <f t="shared" si="120"/>
        <v>21051.395355490899</v>
      </c>
      <c r="EU34" s="358"/>
      <c r="EV34" s="358"/>
      <c r="EW34" s="358"/>
      <c r="EX34" s="358"/>
      <c r="EY34" s="358"/>
      <c r="EZ34" s="358"/>
      <c r="FA34" s="351"/>
    </row>
    <row r="35" spans="1:164" ht="35" customHeight="1" x14ac:dyDescent="0.3">
      <c r="A35" s="330" t="s">
        <v>1746</v>
      </c>
      <c r="B35" s="318" t="s">
        <v>878</v>
      </c>
      <c r="C35" s="318" t="s">
        <v>72</v>
      </c>
      <c r="D35" s="318" t="s">
        <v>76</v>
      </c>
      <c r="E35" s="318" t="s">
        <v>8</v>
      </c>
      <c r="F35" s="318" t="s">
        <v>276</v>
      </c>
      <c r="G35" s="318" t="s">
        <v>728</v>
      </c>
      <c r="H35" s="318" t="s">
        <v>916</v>
      </c>
      <c r="I35" s="318" t="s">
        <v>917</v>
      </c>
      <c r="J35" s="318" t="s">
        <v>1045</v>
      </c>
      <c r="K35" s="318" t="s">
        <v>1048</v>
      </c>
      <c r="L35" s="318" t="s">
        <v>1055</v>
      </c>
      <c r="M35" s="318" t="s">
        <v>1060</v>
      </c>
      <c r="N35" s="318" t="s">
        <v>1069</v>
      </c>
      <c r="O35" s="318" t="s">
        <v>1072</v>
      </c>
      <c r="P35" s="318" t="s">
        <v>1079</v>
      </c>
      <c r="Q35" s="318" t="s">
        <v>1080</v>
      </c>
      <c r="R35" s="318" t="s">
        <v>1085</v>
      </c>
      <c r="S35" s="318" t="s">
        <v>1089</v>
      </c>
      <c r="T35" s="318" t="s">
        <v>102</v>
      </c>
      <c r="U35" s="318" t="s">
        <v>102</v>
      </c>
      <c r="V35" s="318" t="s">
        <v>102</v>
      </c>
      <c r="W35" s="318" t="s">
        <v>102</v>
      </c>
      <c r="X35" s="318" t="s">
        <v>102</v>
      </c>
      <c r="Y35" s="318" t="s">
        <v>102</v>
      </c>
      <c r="Z35" s="318" t="s">
        <v>102</v>
      </c>
      <c r="AA35" s="318" t="s">
        <v>102</v>
      </c>
      <c r="AB35" s="318" t="s">
        <v>102</v>
      </c>
      <c r="AC35" s="318" t="s">
        <v>102</v>
      </c>
      <c r="AD35" s="318" t="s">
        <v>1771</v>
      </c>
      <c r="AE35" s="318">
        <v>603</v>
      </c>
      <c r="AF35" s="318">
        <v>40</v>
      </c>
      <c r="AG35" s="318">
        <v>1965</v>
      </c>
      <c r="AH35" s="318" t="s">
        <v>800</v>
      </c>
      <c r="AI35" s="318">
        <v>1965</v>
      </c>
      <c r="AJ35" s="318" t="s">
        <v>800</v>
      </c>
      <c r="AK35" s="318">
        <v>2010</v>
      </c>
      <c r="AL35" s="318"/>
      <c r="AM35" s="317">
        <f t="shared" si="82"/>
        <v>110416.19889364796</v>
      </c>
      <c r="AN35" s="318" t="s">
        <v>800</v>
      </c>
      <c r="AO35" s="511">
        <f t="shared" si="83"/>
        <v>110416.19889364796</v>
      </c>
      <c r="AP35" s="511">
        <f t="shared" si="84"/>
        <v>0</v>
      </c>
      <c r="AQ35" s="511">
        <f t="shared" si="85"/>
        <v>0</v>
      </c>
      <c r="AR35" s="511">
        <f t="shared" si="86"/>
        <v>0</v>
      </c>
      <c r="AS35" s="511">
        <f>HLOOKUP($C$1,'Inflation Adjustments'!$BI$3:$BT$4,2)*CQ35</f>
        <v>1377216.4041562499</v>
      </c>
      <c r="AT35" s="511">
        <f>IF(BU35="In Service",'Maintenace Cost Assumptions'!$B$3*AS35,0)</f>
        <v>6886.0820207812503</v>
      </c>
      <c r="AU35" s="318">
        <v>3</v>
      </c>
      <c r="AV35" s="318">
        <v>3</v>
      </c>
      <c r="AW35" s="318">
        <v>2</v>
      </c>
      <c r="AX35" s="318">
        <v>3</v>
      </c>
      <c r="AY35" s="318">
        <v>3</v>
      </c>
      <c r="AZ35" s="318">
        <v>3</v>
      </c>
      <c r="BA35" s="318">
        <v>3</v>
      </c>
      <c r="BB35" s="318"/>
      <c r="BC35" s="318"/>
      <c r="BD35" s="318"/>
      <c r="BE35" s="318">
        <v>3</v>
      </c>
      <c r="BF35" s="318"/>
      <c r="BG35" s="332">
        <f>(AU35*'Condition rating weights'!H$8+AV35*'Condition rating weights'!I$8+AW35*'Condition rating weights'!J$8+AX35*'Condition rating weights'!K$8+AY35*'Condition rating weights'!L$8+AZ35*'Condition rating weights'!M$8+BA35*'Condition rating weights'!N$8+BB35*'Condition rating weights'!O$8+BC35*'Condition rating weights'!P$8+BD35*'Condition rating weights'!Q$8+BE35*'Condition rating weights'!R$8+BF35*'Condition rating weights'!S$8)/100</f>
        <v>0.59</v>
      </c>
      <c r="BH35" s="333">
        <v>1</v>
      </c>
      <c r="BI35" s="333">
        <v>211</v>
      </c>
      <c r="BJ35" s="333" t="s">
        <v>12</v>
      </c>
      <c r="BK35" s="333" t="s">
        <v>959</v>
      </c>
      <c r="BL35" s="333" t="s">
        <v>960</v>
      </c>
      <c r="BM35" s="333" t="s">
        <v>961</v>
      </c>
      <c r="BN35" s="333" t="s">
        <v>117</v>
      </c>
      <c r="BO35" s="333" t="s">
        <v>962</v>
      </c>
      <c r="BP35" s="333" t="s">
        <v>962</v>
      </c>
      <c r="BQ35" s="333" t="s">
        <v>963</v>
      </c>
      <c r="BR35" s="333" t="s">
        <v>964</v>
      </c>
      <c r="BS35" s="333" t="s">
        <v>964</v>
      </c>
      <c r="BT35" s="334" t="s">
        <v>965</v>
      </c>
      <c r="BU35" s="335" t="s">
        <v>1429</v>
      </c>
      <c r="BV35" s="282"/>
      <c r="BW35" s="282"/>
      <c r="BX35" s="282"/>
      <c r="BY35" s="282"/>
      <c r="BZ35" s="282"/>
      <c r="CA35" s="282"/>
      <c r="CB35" s="282"/>
      <c r="CC35" s="282"/>
      <c r="CD35" s="282"/>
      <c r="CE35" s="282"/>
      <c r="CF35" s="282"/>
      <c r="CG35" s="351">
        <f t="shared" si="5"/>
        <v>90450</v>
      </c>
      <c r="CH35" s="351">
        <f t="shared" si="6"/>
        <v>301500</v>
      </c>
      <c r="CI35" s="351">
        <f t="shared" si="7"/>
        <v>60300</v>
      </c>
      <c r="CJ35" s="351">
        <f t="shared" si="8"/>
        <v>90450</v>
      </c>
      <c r="CK35" s="351">
        <f t="shared" si="9"/>
        <v>150750</v>
      </c>
      <c r="CL35" s="351">
        <f t="shared" si="10"/>
        <v>60300</v>
      </c>
      <c r="CM35" s="351">
        <f t="shared" si="11"/>
        <v>48240</v>
      </c>
      <c r="CN35" s="351">
        <f t="shared" si="12"/>
        <v>48240</v>
      </c>
      <c r="CO35" s="351">
        <f t="shared" si="13"/>
        <v>60300</v>
      </c>
      <c r="CP35" s="351">
        <f t="shared" si="14"/>
        <v>12060</v>
      </c>
      <c r="CQ35" s="352">
        <f t="shared" si="87"/>
        <v>922590</v>
      </c>
      <c r="CR35" s="353">
        <f>(HLOOKUP($AI35,'Inflation Adjustments'!$B$3:$BT$4,2,TRUE))*CG35</f>
        <v>10825.117538592936</v>
      </c>
      <c r="CS35" s="353">
        <f>(HLOOKUP($AI35,'Inflation Adjustments'!$B$3:$BT$4,2,TRUE))*CH35</f>
        <v>36083.72512864312</v>
      </c>
      <c r="CT35" s="353">
        <f>(HLOOKUP($AI35,'Inflation Adjustments'!$B$3:$BT$4,2,TRUE))*CI35</f>
        <v>7216.7450257286237</v>
      </c>
      <c r="CU35" s="353">
        <f>(HLOOKUP($AI35,'Inflation Adjustments'!$B$3:$BT$4,2,TRUE))*CJ35</f>
        <v>10825.117538592936</v>
      </c>
      <c r="CV35" s="353">
        <f>(HLOOKUP($AI35,'Inflation Adjustments'!$B$3:$BT$4,2,TRUE))*CK35</f>
        <v>18041.86256432156</v>
      </c>
      <c r="CW35" s="353">
        <f>(HLOOKUP($AI35,'Inflation Adjustments'!$B$3:$BT$4,2,TRUE))*CL35</f>
        <v>7216.7450257286237</v>
      </c>
      <c r="CX35" s="353">
        <f>(HLOOKUP($AI35,'Inflation Adjustments'!$B$3:$BT$4,2,TRUE))*CM35</f>
        <v>5773.3960205828989</v>
      </c>
      <c r="CY35" s="353">
        <f>(HLOOKUP($AI35,'Inflation Adjustments'!$B$3:$BT$4,2,TRUE))*CN35</f>
        <v>5773.3960205828989</v>
      </c>
      <c r="CZ35" s="353">
        <f>(HLOOKUP($AI35,'Inflation Adjustments'!$B$3:$BT$4,2,TRUE))*CO35</f>
        <v>7216.7450257286237</v>
      </c>
      <c r="DA35" s="353">
        <f>(HLOOKUP($AI35,'Inflation Adjustments'!$B$3:$BT$4,2,TRUE))*CP35</f>
        <v>1443.3490051457247</v>
      </c>
      <c r="DB35" s="353">
        <f t="shared" si="39"/>
        <v>110416.19889364796</v>
      </c>
      <c r="DC35" s="354">
        <f t="shared" si="54"/>
        <v>57</v>
      </c>
      <c r="DD35" s="351">
        <f t="shared" si="16"/>
        <v>40</v>
      </c>
      <c r="DE35" s="351">
        <f t="shared" si="17"/>
        <v>40</v>
      </c>
      <c r="DF35" s="351">
        <f t="shared" si="18"/>
        <v>10</v>
      </c>
      <c r="DG35" s="351">
        <f t="shared" si="19"/>
        <v>20</v>
      </c>
      <c r="DH35" s="351">
        <f t="shared" si="20"/>
        <v>40</v>
      </c>
      <c r="DI35" s="351">
        <f t="shared" si="21"/>
        <v>20</v>
      </c>
      <c r="DJ35" s="351">
        <f t="shared" si="22"/>
        <v>10</v>
      </c>
      <c r="DK35" s="351">
        <f t="shared" si="23"/>
        <v>10</v>
      </c>
      <c r="DL35" s="351">
        <f t="shared" si="24"/>
        <v>20</v>
      </c>
      <c r="DM35" s="351">
        <f t="shared" si="25"/>
        <v>20</v>
      </c>
      <c r="DN35" s="355">
        <f t="shared" si="88"/>
        <v>270.62793846482339</v>
      </c>
      <c r="DO35" s="355">
        <f t="shared" si="89"/>
        <v>902.09312821607796</v>
      </c>
      <c r="DP35" s="355">
        <f t="shared" si="90"/>
        <v>721.67450257286237</v>
      </c>
      <c r="DQ35" s="355">
        <f t="shared" si="91"/>
        <v>541.25587692964677</v>
      </c>
      <c r="DR35" s="355">
        <f t="shared" si="92"/>
        <v>451.04656410803898</v>
      </c>
      <c r="DS35" s="355">
        <f t="shared" si="93"/>
        <v>360.83725128643118</v>
      </c>
      <c r="DT35" s="355">
        <f t="shared" si="94"/>
        <v>577.33960205828987</v>
      </c>
      <c r="DU35" s="355">
        <f t="shared" si="95"/>
        <v>577.33960205828987</v>
      </c>
      <c r="DV35" s="355">
        <f t="shared" si="96"/>
        <v>360.83725128643118</v>
      </c>
      <c r="DW35" s="355">
        <f t="shared" si="97"/>
        <v>72.167450257286234</v>
      </c>
      <c r="DX35" s="355">
        <f t="shared" si="98"/>
        <v>4835.2191672381778</v>
      </c>
      <c r="DY35" s="351">
        <f t="shared" si="99"/>
        <v>10825.117538592936</v>
      </c>
      <c r="DZ35" s="351">
        <f t="shared" si="100"/>
        <v>36083.72512864312</v>
      </c>
      <c r="EA35" s="351">
        <f t="shared" si="101"/>
        <v>7216.7450257286237</v>
      </c>
      <c r="EB35" s="351">
        <f t="shared" si="102"/>
        <v>10825.117538592936</v>
      </c>
      <c r="EC35" s="351">
        <f t="shared" si="103"/>
        <v>18041.86256432156</v>
      </c>
      <c r="ED35" s="351">
        <f t="shared" si="104"/>
        <v>7216.7450257286237</v>
      </c>
      <c r="EE35" s="351">
        <f t="shared" si="105"/>
        <v>5773.3960205828989</v>
      </c>
      <c r="EF35" s="351">
        <f t="shared" si="106"/>
        <v>5773.3960205828989</v>
      </c>
      <c r="EG35" s="351">
        <f t="shared" si="107"/>
        <v>7216.7450257286237</v>
      </c>
      <c r="EH35" s="351">
        <f t="shared" si="108"/>
        <v>1443.3490051457247</v>
      </c>
      <c r="EI35" s="352">
        <f t="shared" si="109"/>
        <v>110416.19889364796</v>
      </c>
      <c r="EJ35" s="355">
        <f t="shared" si="110"/>
        <v>0</v>
      </c>
      <c r="EK35" s="355">
        <f t="shared" si="111"/>
        <v>0</v>
      </c>
      <c r="EL35" s="355">
        <f t="shared" si="112"/>
        <v>0</v>
      </c>
      <c r="EM35" s="355">
        <f t="shared" si="113"/>
        <v>0</v>
      </c>
      <c r="EN35" s="355">
        <f t="shared" si="114"/>
        <v>0</v>
      </c>
      <c r="EO35" s="355">
        <f t="shared" si="115"/>
        <v>0</v>
      </c>
      <c r="EP35" s="355">
        <f t="shared" si="116"/>
        <v>0</v>
      </c>
      <c r="EQ35" s="355">
        <f t="shared" si="117"/>
        <v>0</v>
      </c>
      <c r="ER35" s="355">
        <f t="shared" si="118"/>
        <v>0</v>
      </c>
      <c r="ES35" s="355">
        <f t="shared" si="119"/>
        <v>0</v>
      </c>
      <c r="ET35" s="353">
        <f t="shared" si="120"/>
        <v>0</v>
      </c>
      <c r="EU35" s="358"/>
      <c r="EV35" s="358"/>
      <c r="EW35" s="358"/>
      <c r="EX35" s="358"/>
      <c r="EY35" s="358"/>
      <c r="EZ35" s="358"/>
      <c r="FA35" s="351"/>
      <c r="FC35" s="633" t="s">
        <v>1584</v>
      </c>
      <c r="FD35" s="633"/>
      <c r="FE35" s="633"/>
      <c r="FF35" s="633"/>
      <c r="FG35" s="633"/>
      <c r="FH35" s="633"/>
    </row>
    <row r="36" spans="1:164" ht="35" customHeight="1" x14ac:dyDescent="0.3">
      <c r="A36" s="330" t="s">
        <v>1747</v>
      </c>
      <c r="B36" s="318" t="s">
        <v>878</v>
      </c>
      <c r="C36" s="318" t="s">
        <v>72</v>
      </c>
      <c r="D36" s="318" t="s">
        <v>76</v>
      </c>
      <c r="E36" s="318" t="s">
        <v>8</v>
      </c>
      <c r="F36" s="318" t="s">
        <v>271</v>
      </c>
      <c r="G36" s="318" t="s">
        <v>728</v>
      </c>
      <c r="H36" s="318" t="s">
        <v>918</v>
      </c>
      <c r="I36" s="318" t="s">
        <v>919</v>
      </c>
      <c r="J36" s="318" t="s">
        <v>1045</v>
      </c>
      <c r="K36" s="318" t="s">
        <v>1047</v>
      </c>
      <c r="L36" s="318" t="s">
        <v>1056</v>
      </c>
      <c r="M36" s="318" t="s">
        <v>1063</v>
      </c>
      <c r="N36" s="318" t="s">
        <v>1069</v>
      </c>
      <c r="O36" s="318" t="s">
        <v>1072</v>
      </c>
      <c r="P36" s="318" t="s">
        <v>1079</v>
      </c>
      <c r="Q36" s="318" t="s">
        <v>1080</v>
      </c>
      <c r="R36" s="318" t="s">
        <v>1085</v>
      </c>
      <c r="S36" s="318" t="s">
        <v>1091</v>
      </c>
      <c r="T36" s="318" t="s">
        <v>102</v>
      </c>
      <c r="U36" s="318" t="s">
        <v>102</v>
      </c>
      <c r="V36" s="318" t="s">
        <v>102</v>
      </c>
      <c r="W36" s="318" t="s">
        <v>102</v>
      </c>
      <c r="X36" s="318" t="s">
        <v>102</v>
      </c>
      <c r="Y36" s="318" t="s">
        <v>102</v>
      </c>
      <c r="Z36" s="318" t="s">
        <v>102</v>
      </c>
      <c r="AA36" s="318" t="s">
        <v>102</v>
      </c>
      <c r="AB36" s="318" t="s">
        <v>102</v>
      </c>
      <c r="AC36" s="318" t="s">
        <v>102</v>
      </c>
      <c r="AD36" s="318" t="s">
        <v>1771</v>
      </c>
      <c r="AE36" s="318">
        <v>112</v>
      </c>
      <c r="AF36" s="318">
        <v>40</v>
      </c>
      <c r="AG36" s="318">
        <v>1985</v>
      </c>
      <c r="AH36" s="318" t="s">
        <v>800</v>
      </c>
      <c r="AI36" s="318">
        <v>1985</v>
      </c>
      <c r="AJ36" s="318" t="s">
        <v>800</v>
      </c>
      <c r="AK36" s="318">
        <v>2010</v>
      </c>
      <c r="AL36" s="318"/>
      <c r="AM36" s="317">
        <f t="shared" si="82"/>
        <v>44936.608194535926</v>
      </c>
      <c r="AN36" s="318" t="s">
        <v>800</v>
      </c>
      <c r="AO36" s="511">
        <f t="shared" si="83"/>
        <v>42954.110774188754</v>
      </c>
      <c r="AP36" s="511">
        <f t="shared" si="84"/>
        <v>1982.497420347172</v>
      </c>
      <c r="AQ36" s="511">
        <f t="shared" si="85"/>
        <v>660.83247344905772</v>
      </c>
      <c r="AR36" s="511">
        <f t="shared" si="86"/>
        <v>1321.6649468981143</v>
      </c>
      <c r="AS36" s="511">
        <f>HLOOKUP($C$1,'Inflation Adjustments'!$BI$3:$BT$4,2)*CQ36</f>
        <v>255801.38849999997</v>
      </c>
      <c r="AT36" s="511">
        <f>IF(BU36="In Service",'Maintenace Cost Assumptions'!$B$3*AS36,0)</f>
        <v>1279.0069424999999</v>
      </c>
      <c r="AU36" s="318">
        <v>3</v>
      </c>
      <c r="AV36" s="318">
        <v>3</v>
      </c>
      <c r="AW36" s="318">
        <v>3</v>
      </c>
      <c r="AX36" s="318">
        <v>3</v>
      </c>
      <c r="AY36" s="318">
        <v>3</v>
      </c>
      <c r="AZ36" s="318">
        <v>2</v>
      </c>
      <c r="BA36" s="318">
        <v>3</v>
      </c>
      <c r="BB36" s="318"/>
      <c r="BC36" s="318"/>
      <c r="BD36" s="318"/>
      <c r="BE36" s="318">
        <v>3</v>
      </c>
      <c r="BF36" s="318"/>
      <c r="BG36" s="332">
        <f>(AU36*'Condition rating weights'!H$8+AV36*'Condition rating weights'!I$8+AW36*'Condition rating weights'!J$8+AX36*'Condition rating weights'!K$8+AY36*'Condition rating weights'!L$8+AZ36*'Condition rating weights'!M$8+BA36*'Condition rating weights'!N$8+BB36*'Condition rating weights'!O$8+BC36*'Condition rating weights'!P$8+BD36*'Condition rating weights'!Q$8+BE36*'Condition rating weights'!R$8+BF36*'Condition rating weights'!S$8)/100</f>
        <v>0.59</v>
      </c>
      <c r="BH36" s="333">
        <v>1</v>
      </c>
      <c r="BI36" s="333">
        <v>211</v>
      </c>
      <c r="BJ36" s="333" t="s">
        <v>12</v>
      </c>
      <c r="BK36" s="333" t="s">
        <v>959</v>
      </c>
      <c r="BL36" s="333" t="s">
        <v>960</v>
      </c>
      <c r="BM36" s="333" t="s">
        <v>961</v>
      </c>
      <c r="BN36" s="333" t="s">
        <v>117</v>
      </c>
      <c r="BO36" s="333" t="s">
        <v>962</v>
      </c>
      <c r="BP36" s="333" t="s">
        <v>962</v>
      </c>
      <c r="BQ36" s="333" t="s">
        <v>963</v>
      </c>
      <c r="BR36" s="333" t="s">
        <v>964</v>
      </c>
      <c r="BS36" s="333" t="s">
        <v>964</v>
      </c>
      <c r="BT36" s="334" t="s">
        <v>965</v>
      </c>
      <c r="BU36" s="335" t="s">
        <v>1429</v>
      </c>
      <c r="BV36" s="282"/>
      <c r="BW36" s="282"/>
      <c r="BX36" s="282"/>
      <c r="BY36" s="282"/>
      <c r="BZ36" s="282"/>
      <c r="CA36" s="282"/>
      <c r="CB36" s="282"/>
      <c r="CC36" s="282"/>
      <c r="CD36" s="282"/>
      <c r="CE36" s="282"/>
      <c r="CF36" s="282"/>
      <c r="CG36" s="351">
        <f t="shared" si="5"/>
        <v>16800</v>
      </c>
      <c r="CH36" s="351">
        <f t="shared" si="6"/>
        <v>56000</v>
      </c>
      <c r="CI36" s="351">
        <f t="shared" si="7"/>
        <v>11200</v>
      </c>
      <c r="CJ36" s="351">
        <f t="shared" si="8"/>
        <v>16800</v>
      </c>
      <c r="CK36" s="351">
        <f t="shared" si="9"/>
        <v>28000</v>
      </c>
      <c r="CL36" s="351">
        <f t="shared" si="10"/>
        <v>11200</v>
      </c>
      <c r="CM36" s="351">
        <f t="shared" si="11"/>
        <v>8960</v>
      </c>
      <c r="CN36" s="351">
        <f t="shared" si="12"/>
        <v>8960</v>
      </c>
      <c r="CO36" s="351">
        <f t="shared" si="13"/>
        <v>11200</v>
      </c>
      <c r="CP36" s="351">
        <f t="shared" si="14"/>
        <v>2240</v>
      </c>
      <c r="CQ36" s="352">
        <f t="shared" si="87"/>
        <v>171360</v>
      </c>
      <c r="CR36" s="353">
        <f>(HLOOKUP($AI36,'Inflation Adjustments'!$B$3:$BT$4,2,TRUE))*CG36</f>
        <v>4405.5498229937175</v>
      </c>
      <c r="CS36" s="353">
        <f>(HLOOKUP($AI36,'Inflation Adjustments'!$B$3:$BT$4,2,TRUE))*CH36</f>
        <v>14685.166076645726</v>
      </c>
      <c r="CT36" s="353">
        <f>(HLOOKUP($AI36,'Inflation Adjustments'!$B$3:$BT$4,2,TRUE))*CI36</f>
        <v>2937.0332153291452</v>
      </c>
      <c r="CU36" s="353">
        <f>(HLOOKUP($AI36,'Inflation Adjustments'!$B$3:$BT$4,2,TRUE))*CJ36</f>
        <v>4405.5498229937175</v>
      </c>
      <c r="CV36" s="353">
        <f>(HLOOKUP($AI36,'Inflation Adjustments'!$B$3:$BT$4,2,TRUE))*CK36</f>
        <v>7342.5830383228631</v>
      </c>
      <c r="CW36" s="353">
        <f>(HLOOKUP($AI36,'Inflation Adjustments'!$B$3:$BT$4,2,TRUE))*CL36</f>
        <v>2937.0332153291452</v>
      </c>
      <c r="CX36" s="353">
        <f>(HLOOKUP($AI36,'Inflation Adjustments'!$B$3:$BT$4,2,TRUE))*CM36</f>
        <v>2349.6265722633161</v>
      </c>
      <c r="CY36" s="353">
        <f>(HLOOKUP($AI36,'Inflation Adjustments'!$B$3:$BT$4,2,TRUE))*CN36</f>
        <v>2349.6265722633161</v>
      </c>
      <c r="CZ36" s="353">
        <f>(HLOOKUP($AI36,'Inflation Adjustments'!$B$3:$BT$4,2,TRUE))*CO36</f>
        <v>2937.0332153291452</v>
      </c>
      <c r="DA36" s="353">
        <f>(HLOOKUP($AI36,'Inflation Adjustments'!$B$3:$BT$4,2,TRUE))*CP36</f>
        <v>587.40664306582903</v>
      </c>
      <c r="DB36" s="353">
        <f t="shared" si="39"/>
        <v>44936.608194535926</v>
      </c>
      <c r="DC36" s="354">
        <f t="shared" si="54"/>
        <v>37</v>
      </c>
      <c r="DD36" s="351">
        <f t="shared" si="16"/>
        <v>40</v>
      </c>
      <c r="DE36" s="351">
        <f t="shared" si="17"/>
        <v>40</v>
      </c>
      <c r="DF36" s="351">
        <f t="shared" si="18"/>
        <v>10</v>
      </c>
      <c r="DG36" s="351">
        <f t="shared" si="19"/>
        <v>20</v>
      </c>
      <c r="DH36" s="351">
        <f t="shared" si="20"/>
        <v>40</v>
      </c>
      <c r="DI36" s="351">
        <f t="shared" si="21"/>
        <v>20</v>
      </c>
      <c r="DJ36" s="351">
        <f t="shared" si="22"/>
        <v>10</v>
      </c>
      <c r="DK36" s="351">
        <f t="shared" si="23"/>
        <v>10</v>
      </c>
      <c r="DL36" s="351">
        <f t="shared" si="24"/>
        <v>20</v>
      </c>
      <c r="DM36" s="351">
        <f t="shared" si="25"/>
        <v>20</v>
      </c>
      <c r="DN36" s="355">
        <f t="shared" si="88"/>
        <v>110.13874557484294</v>
      </c>
      <c r="DO36" s="355">
        <f t="shared" si="89"/>
        <v>367.12915191614314</v>
      </c>
      <c r="DP36" s="355">
        <f t="shared" si="90"/>
        <v>293.70332153291452</v>
      </c>
      <c r="DQ36" s="355">
        <f t="shared" si="91"/>
        <v>220.27749114968589</v>
      </c>
      <c r="DR36" s="355">
        <f t="shared" si="92"/>
        <v>183.56457595807157</v>
      </c>
      <c r="DS36" s="355">
        <f t="shared" si="93"/>
        <v>146.85166076645726</v>
      </c>
      <c r="DT36" s="355">
        <f t="shared" si="94"/>
        <v>234.9626572263316</v>
      </c>
      <c r="DU36" s="355">
        <f t="shared" si="95"/>
        <v>234.9626572263316</v>
      </c>
      <c r="DV36" s="355">
        <f t="shared" si="96"/>
        <v>146.85166076645726</v>
      </c>
      <c r="DW36" s="355">
        <f t="shared" si="97"/>
        <v>29.37033215329145</v>
      </c>
      <c r="DX36" s="355">
        <f t="shared" si="98"/>
        <v>1967.8122542705275</v>
      </c>
      <c r="DY36" s="351">
        <f t="shared" si="99"/>
        <v>4075.133586269189</v>
      </c>
      <c r="DZ36" s="351">
        <f t="shared" si="100"/>
        <v>13583.778620897296</v>
      </c>
      <c r="EA36" s="351">
        <f t="shared" si="101"/>
        <v>2937.0332153291452</v>
      </c>
      <c r="EB36" s="351">
        <f t="shared" si="102"/>
        <v>4405.5498229937175</v>
      </c>
      <c r="EC36" s="351">
        <f t="shared" si="103"/>
        <v>6791.8893104486478</v>
      </c>
      <c r="ED36" s="351">
        <f t="shared" si="104"/>
        <v>2937.0332153291452</v>
      </c>
      <c r="EE36" s="351">
        <f t="shared" si="105"/>
        <v>2349.6265722633161</v>
      </c>
      <c r="EF36" s="351">
        <f t="shared" si="106"/>
        <v>2349.6265722633161</v>
      </c>
      <c r="EG36" s="351">
        <f t="shared" si="107"/>
        <v>2937.0332153291452</v>
      </c>
      <c r="EH36" s="351">
        <f t="shared" si="108"/>
        <v>587.40664306582903</v>
      </c>
      <c r="EI36" s="352">
        <f t="shared" si="109"/>
        <v>42954.110774188754</v>
      </c>
      <c r="EJ36" s="355">
        <f t="shared" si="110"/>
        <v>110.13874557484294</v>
      </c>
      <c r="EK36" s="355">
        <f t="shared" si="111"/>
        <v>367.12915191614314</v>
      </c>
      <c r="EL36" s="355">
        <f t="shared" si="112"/>
        <v>0</v>
      </c>
      <c r="EM36" s="355">
        <f t="shared" si="113"/>
        <v>0</v>
      </c>
      <c r="EN36" s="355">
        <f t="shared" si="114"/>
        <v>183.56457595807157</v>
      </c>
      <c r="EO36" s="355">
        <f t="shared" si="115"/>
        <v>0</v>
      </c>
      <c r="EP36" s="355">
        <f t="shared" si="116"/>
        <v>0</v>
      </c>
      <c r="EQ36" s="355">
        <f t="shared" si="117"/>
        <v>0</v>
      </c>
      <c r="ER36" s="355">
        <f t="shared" si="118"/>
        <v>0</v>
      </c>
      <c r="ES36" s="355">
        <f t="shared" si="119"/>
        <v>0</v>
      </c>
      <c r="ET36" s="353">
        <f t="shared" si="120"/>
        <v>660.83247344905772</v>
      </c>
      <c r="EU36" s="358"/>
      <c r="EV36" s="358"/>
      <c r="EW36" s="358"/>
      <c r="EX36" s="358"/>
      <c r="EY36" s="358"/>
      <c r="EZ36" s="358"/>
      <c r="FA36" s="351"/>
      <c r="FC36" s="91" t="s">
        <v>1584</v>
      </c>
    </row>
    <row r="37" spans="1:164" ht="35" customHeight="1" x14ac:dyDescent="0.3">
      <c r="A37" s="330" t="s">
        <v>1748</v>
      </c>
      <c r="B37" s="318" t="s">
        <v>878</v>
      </c>
      <c r="C37" s="318" t="s">
        <v>72</v>
      </c>
      <c r="D37" s="318" t="s">
        <v>76</v>
      </c>
      <c r="E37" s="318" t="s">
        <v>8</v>
      </c>
      <c r="F37" s="318" t="s">
        <v>281</v>
      </c>
      <c r="G37" s="318" t="s">
        <v>728</v>
      </c>
      <c r="H37" s="318" t="s">
        <v>918</v>
      </c>
      <c r="I37" s="318" t="s">
        <v>919</v>
      </c>
      <c r="J37" s="318" t="s">
        <v>1045</v>
      </c>
      <c r="K37" s="318" t="s">
        <v>1047</v>
      </c>
      <c r="L37" s="318" t="s">
        <v>1055</v>
      </c>
      <c r="M37" s="318"/>
      <c r="N37" s="318"/>
      <c r="O37" s="318"/>
      <c r="P37" s="318"/>
      <c r="Q37" s="318"/>
      <c r="R37" s="318"/>
      <c r="S37" s="318"/>
      <c r="T37" s="318" t="s">
        <v>102</v>
      </c>
      <c r="U37" s="318" t="s">
        <v>102</v>
      </c>
      <c r="V37" s="318" t="s">
        <v>102</v>
      </c>
      <c r="W37" s="318" t="s">
        <v>117</v>
      </c>
      <c r="X37" s="318" t="s">
        <v>117</v>
      </c>
      <c r="Y37" s="318" t="s">
        <v>117</v>
      </c>
      <c r="Z37" s="318" t="s">
        <v>117</v>
      </c>
      <c r="AA37" s="318" t="s">
        <v>117</v>
      </c>
      <c r="AB37" s="318" t="s">
        <v>117</v>
      </c>
      <c r="AC37" s="318" t="s">
        <v>117</v>
      </c>
      <c r="AD37" s="318" t="s">
        <v>117</v>
      </c>
      <c r="AE37" s="318">
        <v>70</v>
      </c>
      <c r="AF37" s="363">
        <v>40</v>
      </c>
      <c r="AG37" s="318">
        <v>1985</v>
      </c>
      <c r="AH37" s="318" t="s">
        <v>800</v>
      </c>
      <c r="AI37" s="318">
        <v>1985</v>
      </c>
      <c r="AJ37" s="318" t="s">
        <v>800</v>
      </c>
      <c r="AK37" s="363"/>
      <c r="AL37" s="363"/>
      <c r="AM37" s="317">
        <f t="shared" si="82"/>
        <v>13767.343196855367</v>
      </c>
      <c r="AN37" s="318" t="s">
        <v>800</v>
      </c>
      <c r="AO37" s="511">
        <f t="shared" si="83"/>
        <v>12872.465889059769</v>
      </c>
      <c r="AP37" s="511">
        <f t="shared" si="84"/>
        <v>894.87730779559752</v>
      </c>
      <c r="AQ37" s="511">
        <f t="shared" si="85"/>
        <v>298.29243593186629</v>
      </c>
      <c r="AR37" s="511">
        <f t="shared" si="86"/>
        <v>596.58487186373122</v>
      </c>
      <c r="AS37" s="511">
        <f>HLOOKUP($C$1,'Inflation Adjustments'!$BI$3:$BT$4,2)*CQ37</f>
        <v>78370.523437499985</v>
      </c>
      <c r="AT37" s="511">
        <f>IF(BU37="In Service",'Maintenace Cost Assumptions'!$B$3*AS37,0)</f>
        <v>391.85261718749996</v>
      </c>
      <c r="AU37" s="318">
        <v>3</v>
      </c>
      <c r="AV37" s="318">
        <v>3</v>
      </c>
      <c r="AW37" s="318">
        <v>3</v>
      </c>
      <c r="AX37" s="318">
        <v>3</v>
      </c>
      <c r="AY37" s="318">
        <v>3</v>
      </c>
      <c r="AZ37" s="318">
        <v>3</v>
      </c>
      <c r="BA37" s="318">
        <v>3</v>
      </c>
      <c r="BB37" s="318"/>
      <c r="BC37" s="318"/>
      <c r="BD37" s="318"/>
      <c r="BE37" s="318">
        <v>3</v>
      </c>
      <c r="BF37" s="318"/>
      <c r="BG37" s="332">
        <f>(AU37*'Condition rating weights'!H$8+AV37*'Condition rating weights'!I$8+AW37*'Condition rating weights'!J$8+AX37*'Condition rating weights'!K$8+AY37*'Condition rating weights'!L$8+AZ37*'Condition rating weights'!M$8+BA37*'Condition rating weights'!N$8+BB37*'Condition rating weights'!O$8+BC37*'Condition rating weights'!P$8+BD37*'Condition rating weights'!Q$8+BE37*'Condition rating weights'!R$8+BF37*'Condition rating weights'!S$8)/100</f>
        <v>0.6</v>
      </c>
      <c r="BH37" s="333">
        <v>1</v>
      </c>
      <c r="BI37" s="333">
        <v>511</v>
      </c>
      <c r="BJ37" s="333" t="s">
        <v>12</v>
      </c>
      <c r="BK37" s="333" t="s">
        <v>959</v>
      </c>
      <c r="BL37" s="333" t="s">
        <v>960</v>
      </c>
      <c r="BM37" s="333" t="s">
        <v>961</v>
      </c>
      <c r="BN37" s="333" t="s">
        <v>117</v>
      </c>
      <c r="BO37" s="333" t="s">
        <v>962</v>
      </c>
      <c r="BP37" s="333" t="s">
        <v>962</v>
      </c>
      <c r="BQ37" s="333" t="s">
        <v>963</v>
      </c>
      <c r="BR37" s="333" t="s">
        <v>964</v>
      </c>
      <c r="BS37" s="333" t="s">
        <v>964</v>
      </c>
      <c r="BT37" s="334" t="s">
        <v>965</v>
      </c>
      <c r="BU37" s="335" t="s">
        <v>1429</v>
      </c>
      <c r="BV37" s="282"/>
      <c r="BW37" s="282"/>
      <c r="BX37" s="282"/>
      <c r="BY37" s="282"/>
      <c r="BZ37" s="282"/>
      <c r="CA37" s="282"/>
      <c r="CB37" s="282"/>
      <c r="CC37" s="282"/>
      <c r="CD37" s="282"/>
      <c r="CE37" s="282"/>
      <c r="CF37" s="282"/>
      <c r="CG37" s="351">
        <f t="shared" si="5"/>
        <v>10500</v>
      </c>
      <c r="CH37" s="351">
        <f t="shared" si="6"/>
        <v>35000</v>
      </c>
      <c r="CI37" s="351">
        <f t="shared" si="7"/>
        <v>7000</v>
      </c>
      <c r="CJ37" s="351">
        <f t="shared" si="8"/>
        <v>0</v>
      </c>
      <c r="CK37" s="351">
        <f t="shared" si="9"/>
        <v>0</v>
      </c>
      <c r="CL37" s="351">
        <f t="shared" si="10"/>
        <v>0</v>
      </c>
      <c r="CM37" s="351">
        <f t="shared" si="11"/>
        <v>0</v>
      </c>
      <c r="CN37" s="351">
        <f t="shared" si="12"/>
        <v>0</v>
      </c>
      <c r="CO37" s="351">
        <f t="shared" si="13"/>
        <v>0</v>
      </c>
      <c r="CP37" s="351">
        <f t="shared" si="14"/>
        <v>0</v>
      </c>
      <c r="CQ37" s="352">
        <f t="shared" si="87"/>
        <v>52500</v>
      </c>
      <c r="CR37" s="353">
        <f>(HLOOKUP($AI37,'Inflation Adjustments'!$B$3:$BT$4,2,TRUE))*CG37</f>
        <v>2753.4686393710736</v>
      </c>
      <c r="CS37" s="353">
        <f>(HLOOKUP($AI37,'Inflation Adjustments'!$B$3:$BT$4,2,TRUE))*CH37</f>
        <v>9178.2287979035791</v>
      </c>
      <c r="CT37" s="353">
        <f>(HLOOKUP($AI37,'Inflation Adjustments'!$B$3:$BT$4,2,TRUE))*CI37</f>
        <v>1835.6457595807158</v>
      </c>
      <c r="CU37" s="353">
        <f>(HLOOKUP($AI37,'Inflation Adjustments'!$B$3:$BT$4,2,TRUE))*CJ37</f>
        <v>0</v>
      </c>
      <c r="CV37" s="353">
        <f>(HLOOKUP($AI37,'Inflation Adjustments'!$B$3:$BT$4,2,TRUE))*CK37</f>
        <v>0</v>
      </c>
      <c r="CW37" s="353">
        <f>(HLOOKUP($AI37,'Inflation Adjustments'!$B$3:$BT$4,2,TRUE))*CL37</f>
        <v>0</v>
      </c>
      <c r="CX37" s="353">
        <f>(HLOOKUP($AI37,'Inflation Adjustments'!$B$3:$BT$4,2,TRUE))*CM37</f>
        <v>0</v>
      </c>
      <c r="CY37" s="353">
        <f>(HLOOKUP($AI37,'Inflation Adjustments'!$B$3:$BT$4,2,TRUE))*CN37</f>
        <v>0</v>
      </c>
      <c r="CZ37" s="353">
        <f>(HLOOKUP($AI37,'Inflation Adjustments'!$B$3:$BT$4,2,TRUE))*CO37</f>
        <v>0</v>
      </c>
      <c r="DA37" s="353">
        <f>(HLOOKUP($AI37,'Inflation Adjustments'!$B$3:$BT$4,2,TRUE))*CP37</f>
        <v>0</v>
      </c>
      <c r="DB37" s="353">
        <f t="shared" si="39"/>
        <v>13767.343196855367</v>
      </c>
      <c r="DC37" s="354">
        <f t="shared" si="54"/>
        <v>37</v>
      </c>
      <c r="DD37" s="351">
        <f t="shared" si="16"/>
        <v>40</v>
      </c>
      <c r="DE37" s="351">
        <f t="shared" si="17"/>
        <v>40</v>
      </c>
      <c r="DF37" s="351">
        <f t="shared" si="18"/>
        <v>10</v>
      </c>
      <c r="DG37" s="351">
        <f t="shared" si="19"/>
        <v>20</v>
      </c>
      <c r="DH37" s="351">
        <f t="shared" si="20"/>
        <v>40</v>
      </c>
      <c r="DI37" s="351">
        <f t="shared" si="21"/>
        <v>20</v>
      </c>
      <c r="DJ37" s="351">
        <f t="shared" si="22"/>
        <v>10</v>
      </c>
      <c r="DK37" s="351">
        <f t="shared" si="23"/>
        <v>10</v>
      </c>
      <c r="DL37" s="351">
        <f t="shared" si="24"/>
        <v>20</v>
      </c>
      <c r="DM37" s="351">
        <f t="shared" si="25"/>
        <v>20</v>
      </c>
      <c r="DN37" s="355">
        <f t="shared" si="88"/>
        <v>68.836715984276836</v>
      </c>
      <c r="DO37" s="355">
        <f t="shared" si="89"/>
        <v>229.45571994758947</v>
      </c>
      <c r="DP37" s="355">
        <f t="shared" si="90"/>
        <v>183.56457595807157</v>
      </c>
      <c r="DQ37" s="355">
        <f t="shared" si="91"/>
        <v>0</v>
      </c>
      <c r="DR37" s="355">
        <f t="shared" si="92"/>
        <v>0</v>
      </c>
      <c r="DS37" s="355">
        <f t="shared" si="93"/>
        <v>0</v>
      </c>
      <c r="DT37" s="355">
        <f t="shared" si="94"/>
        <v>0</v>
      </c>
      <c r="DU37" s="355">
        <f t="shared" si="95"/>
        <v>0</v>
      </c>
      <c r="DV37" s="355">
        <f t="shared" si="96"/>
        <v>0</v>
      </c>
      <c r="DW37" s="355">
        <f t="shared" si="97"/>
        <v>0</v>
      </c>
      <c r="DX37" s="355">
        <f t="shared" si="98"/>
        <v>481.85701188993789</v>
      </c>
      <c r="DY37" s="351">
        <f t="shared" si="99"/>
        <v>2546.9584914182428</v>
      </c>
      <c r="DZ37" s="351">
        <f t="shared" si="100"/>
        <v>8489.8616380608109</v>
      </c>
      <c r="EA37" s="351">
        <f t="shared" si="101"/>
        <v>1835.6457595807158</v>
      </c>
      <c r="EB37" s="351">
        <f t="shared" si="102"/>
        <v>0</v>
      </c>
      <c r="EC37" s="351">
        <f t="shared" si="103"/>
        <v>0</v>
      </c>
      <c r="ED37" s="351">
        <f t="shared" si="104"/>
        <v>0</v>
      </c>
      <c r="EE37" s="351">
        <f t="shared" si="105"/>
        <v>0</v>
      </c>
      <c r="EF37" s="351">
        <f t="shared" si="106"/>
        <v>0</v>
      </c>
      <c r="EG37" s="351">
        <f t="shared" si="107"/>
        <v>0</v>
      </c>
      <c r="EH37" s="351">
        <f t="shared" si="108"/>
        <v>0</v>
      </c>
      <c r="EI37" s="352">
        <f t="shared" si="109"/>
        <v>12872.465889059769</v>
      </c>
      <c r="EJ37" s="355">
        <f t="shared" si="110"/>
        <v>68.836715984276836</v>
      </c>
      <c r="EK37" s="355">
        <f t="shared" si="111"/>
        <v>229.45571994758947</v>
      </c>
      <c r="EL37" s="355">
        <f t="shared" si="112"/>
        <v>0</v>
      </c>
      <c r="EM37" s="355">
        <f t="shared" si="113"/>
        <v>0</v>
      </c>
      <c r="EN37" s="355">
        <f t="shared" si="114"/>
        <v>0</v>
      </c>
      <c r="EO37" s="355">
        <f t="shared" si="115"/>
        <v>0</v>
      </c>
      <c r="EP37" s="355">
        <f t="shared" si="116"/>
        <v>0</v>
      </c>
      <c r="EQ37" s="355">
        <f t="shared" si="117"/>
        <v>0</v>
      </c>
      <c r="ER37" s="355">
        <f t="shared" si="118"/>
        <v>0</v>
      </c>
      <c r="ES37" s="355">
        <f t="shared" si="119"/>
        <v>0</v>
      </c>
      <c r="ET37" s="353">
        <f t="shared" si="120"/>
        <v>298.29243593186629</v>
      </c>
      <c r="EU37" s="358"/>
      <c r="EV37" s="358"/>
      <c r="EW37" s="358"/>
      <c r="EX37" s="358"/>
      <c r="EY37" s="358"/>
      <c r="EZ37" s="358"/>
      <c r="FA37" s="351"/>
      <c r="FC37" s="91" t="s">
        <v>1585</v>
      </c>
    </row>
    <row r="38" spans="1:164" ht="35" customHeight="1" x14ac:dyDescent="0.3">
      <c r="A38" s="330" t="s">
        <v>1749</v>
      </c>
      <c r="B38" s="318" t="s">
        <v>1610</v>
      </c>
      <c r="C38" s="318" t="s">
        <v>72</v>
      </c>
      <c r="D38" s="318" t="s">
        <v>321</v>
      </c>
      <c r="E38" s="318" t="s">
        <v>8</v>
      </c>
      <c r="F38" s="318" t="s">
        <v>947</v>
      </c>
      <c r="G38" s="318" t="s">
        <v>1174</v>
      </c>
      <c r="H38" s="318" t="s">
        <v>920</v>
      </c>
      <c r="I38" s="318" t="s">
        <v>921</v>
      </c>
      <c r="J38" s="318" t="s">
        <v>1045</v>
      </c>
      <c r="K38" s="318" t="s">
        <v>1049</v>
      </c>
      <c r="L38" s="318" t="s">
        <v>1055</v>
      </c>
      <c r="M38" s="318" t="s">
        <v>1060</v>
      </c>
      <c r="N38" s="318" t="s">
        <v>1069</v>
      </c>
      <c r="O38" s="318" t="s">
        <v>1072</v>
      </c>
      <c r="P38" s="318" t="s">
        <v>1079</v>
      </c>
      <c r="Q38" s="318" t="s">
        <v>1080</v>
      </c>
      <c r="R38" s="318" t="s">
        <v>1086</v>
      </c>
      <c r="S38" s="318" t="s">
        <v>1089</v>
      </c>
      <c r="T38" s="318" t="s">
        <v>104</v>
      </c>
      <c r="U38" s="318" t="s">
        <v>104</v>
      </c>
      <c r="V38" s="318" t="s">
        <v>104</v>
      </c>
      <c r="W38" s="318" t="s">
        <v>104</v>
      </c>
      <c r="X38" s="318" t="s">
        <v>104</v>
      </c>
      <c r="Y38" s="318" t="s">
        <v>104</v>
      </c>
      <c r="Z38" s="318" t="s">
        <v>104</v>
      </c>
      <c r="AA38" s="318" t="s">
        <v>104</v>
      </c>
      <c r="AB38" s="318" t="s">
        <v>104</v>
      </c>
      <c r="AC38" s="318" t="s">
        <v>104</v>
      </c>
      <c r="AD38" s="318" t="s">
        <v>1771</v>
      </c>
      <c r="AE38" s="318">
        <v>1560</v>
      </c>
      <c r="AF38" s="318">
        <v>60</v>
      </c>
      <c r="AG38" s="318">
        <v>1978</v>
      </c>
      <c r="AH38" s="318" t="s">
        <v>800</v>
      </c>
      <c r="AI38" s="318">
        <v>1978</v>
      </c>
      <c r="AJ38" s="318" t="s">
        <v>800</v>
      </c>
      <c r="AK38" s="318">
        <v>2010</v>
      </c>
      <c r="AL38" s="318"/>
      <c r="AM38" s="317">
        <f t="shared" si="82"/>
        <v>699462.72701915773</v>
      </c>
      <c r="AN38" s="318" t="s">
        <v>800</v>
      </c>
      <c r="AO38" s="511">
        <f t="shared" si="83"/>
        <v>587548.69069609256</v>
      </c>
      <c r="AP38" s="511">
        <f t="shared" si="84"/>
        <v>111914.03632306517</v>
      </c>
      <c r="AQ38" s="511">
        <f t="shared" si="85"/>
        <v>6994.6272701915777</v>
      </c>
      <c r="AR38" s="511">
        <f t="shared" si="86"/>
        <v>104919.4090528736</v>
      </c>
      <c r="AS38" s="511">
        <f>HLOOKUP($C$1,'Inflation Adjustments'!$BI$3:$BT$4,2)*CQ38</f>
        <v>5239629.2812499991</v>
      </c>
      <c r="AT38" s="511">
        <f>IF(BU38="In Service",'Maintenace Cost Assumptions'!$B$3*AS38,0)</f>
        <v>26198.146406249994</v>
      </c>
      <c r="AU38" s="318">
        <v>3</v>
      </c>
      <c r="AV38" s="318">
        <v>3</v>
      </c>
      <c r="AW38" s="318">
        <v>3</v>
      </c>
      <c r="AX38" s="318">
        <v>3</v>
      </c>
      <c r="AY38" s="318">
        <v>3</v>
      </c>
      <c r="AZ38" s="318">
        <v>3</v>
      </c>
      <c r="BA38" s="318">
        <v>3</v>
      </c>
      <c r="BB38" s="318"/>
      <c r="BC38" s="318"/>
      <c r="BD38" s="318"/>
      <c r="BE38" s="318">
        <v>4</v>
      </c>
      <c r="BF38" s="318"/>
      <c r="BG38" s="332">
        <f>(AU38*'Condition rating weights'!H$8+AV38*'Condition rating weights'!I$8+AW38*'Condition rating weights'!J$8+AX38*'Condition rating weights'!K$8+AY38*'Condition rating weights'!L$8+AZ38*'Condition rating weights'!M$8+BA38*'Condition rating weights'!N$8+BB38*'Condition rating weights'!O$8+BC38*'Condition rating weights'!P$8+BD38*'Condition rating weights'!Q$8+BE38*'Condition rating weights'!R$8+BF38*'Condition rating weights'!S$8)/100</f>
        <v>0.66</v>
      </c>
      <c r="BH38" s="333">
        <v>1</v>
      </c>
      <c r="BI38" s="333">
        <v>421</v>
      </c>
      <c r="BJ38" s="333" t="s">
        <v>12</v>
      </c>
      <c r="BK38" s="333" t="s">
        <v>959</v>
      </c>
      <c r="BL38" s="333" t="s">
        <v>960</v>
      </c>
      <c r="BM38" s="333" t="s">
        <v>961</v>
      </c>
      <c r="BN38" s="333" t="s">
        <v>117</v>
      </c>
      <c r="BO38" s="333" t="s">
        <v>962</v>
      </c>
      <c r="BP38" s="333" t="s">
        <v>962</v>
      </c>
      <c r="BQ38" s="333" t="s">
        <v>963</v>
      </c>
      <c r="BR38" s="333" t="s">
        <v>964</v>
      </c>
      <c r="BS38" s="333" t="s">
        <v>964</v>
      </c>
      <c r="BT38" s="334" t="s">
        <v>965</v>
      </c>
      <c r="BU38" s="335" t="s">
        <v>1429</v>
      </c>
      <c r="BV38" s="282"/>
      <c r="BW38" s="282"/>
      <c r="BX38" s="282"/>
      <c r="BY38" s="282"/>
      <c r="BZ38" s="282"/>
      <c r="CA38" s="282"/>
      <c r="CB38" s="282"/>
      <c r="CC38" s="282"/>
      <c r="CD38" s="282"/>
      <c r="CE38" s="282"/>
      <c r="CF38" s="282"/>
      <c r="CG38" s="351">
        <f t="shared" si="5"/>
        <v>312000</v>
      </c>
      <c r="CH38" s="351">
        <f t="shared" si="6"/>
        <v>1248000</v>
      </c>
      <c r="CI38" s="351">
        <f t="shared" si="7"/>
        <v>234000</v>
      </c>
      <c r="CJ38" s="351">
        <f t="shared" si="8"/>
        <v>358800</v>
      </c>
      <c r="CK38" s="351">
        <f t="shared" si="9"/>
        <v>546000</v>
      </c>
      <c r="CL38" s="351">
        <f t="shared" si="10"/>
        <v>234000</v>
      </c>
      <c r="CM38" s="351">
        <f t="shared" si="11"/>
        <v>156000</v>
      </c>
      <c r="CN38" s="351">
        <f t="shared" si="12"/>
        <v>156000</v>
      </c>
      <c r="CO38" s="351">
        <f t="shared" si="13"/>
        <v>202800</v>
      </c>
      <c r="CP38" s="351">
        <f t="shared" si="14"/>
        <v>62400</v>
      </c>
      <c r="CQ38" s="352">
        <f t="shared" si="87"/>
        <v>3510000</v>
      </c>
      <c r="CR38" s="353">
        <f>(HLOOKUP($AI38,'Inflation Adjustments'!$B$3:$BT$4,2,TRUE))*CG38</f>
        <v>62174.464623925131</v>
      </c>
      <c r="CS38" s="353">
        <f>(HLOOKUP($AI38,'Inflation Adjustments'!$B$3:$BT$4,2,TRUE))*CH38</f>
        <v>248697.85849570052</v>
      </c>
      <c r="CT38" s="353">
        <f>(HLOOKUP($AI38,'Inflation Adjustments'!$B$3:$BT$4,2,TRUE))*CI38</f>
        <v>46630.848467943848</v>
      </c>
      <c r="CU38" s="353">
        <f>(HLOOKUP($AI38,'Inflation Adjustments'!$B$3:$BT$4,2,TRUE))*CJ38</f>
        <v>71500.634317513905</v>
      </c>
      <c r="CV38" s="353">
        <f>(HLOOKUP($AI38,'Inflation Adjustments'!$B$3:$BT$4,2,TRUE))*CK38</f>
        <v>108805.31309186899</v>
      </c>
      <c r="CW38" s="353">
        <f>(HLOOKUP($AI38,'Inflation Adjustments'!$B$3:$BT$4,2,TRUE))*CL38</f>
        <v>46630.848467943848</v>
      </c>
      <c r="CX38" s="353">
        <f>(HLOOKUP($AI38,'Inflation Adjustments'!$B$3:$BT$4,2,TRUE))*CM38</f>
        <v>31087.232311962565</v>
      </c>
      <c r="CY38" s="353">
        <f>(HLOOKUP($AI38,'Inflation Adjustments'!$B$3:$BT$4,2,TRUE))*CN38</f>
        <v>31087.232311962565</v>
      </c>
      <c r="CZ38" s="353">
        <f>(HLOOKUP($AI38,'Inflation Adjustments'!$B$3:$BT$4,2,TRUE))*CO38</f>
        <v>40413.402005551332</v>
      </c>
      <c r="DA38" s="353">
        <f>(HLOOKUP($AI38,'Inflation Adjustments'!$B$3:$BT$4,2,TRUE))*CP38</f>
        <v>12434.892924785026</v>
      </c>
      <c r="DB38" s="353">
        <f t="shared" si="39"/>
        <v>699462.72701915773</v>
      </c>
      <c r="DC38" s="354">
        <f t="shared" si="54"/>
        <v>44</v>
      </c>
      <c r="DD38" s="351">
        <f t="shared" si="16"/>
        <v>60</v>
      </c>
      <c r="DE38" s="351">
        <f t="shared" si="17"/>
        <v>60</v>
      </c>
      <c r="DF38" s="351">
        <f t="shared" si="18"/>
        <v>20</v>
      </c>
      <c r="DG38" s="351">
        <f t="shared" si="19"/>
        <v>30</v>
      </c>
      <c r="DH38" s="351">
        <f t="shared" si="20"/>
        <v>60</v>
      </c>
      <c r="DI38" s="351">
        <f t="shared" si="21"/>
        <v>30</v>
      </c>
      <c r="DJ38" s="351">
        <f t="shared" si="22"/>
        <v>20</v>
      </c>
      <c r="DK38" s="351">
        <f t="shared" si="23"/>
        <v>20</v>
      </c>
      <c r="DL38" s="351">
        <f t="shared" si="24"/>
        <v>30</v>
      </c>
      <c r="DM38" s="351">
        <f t="shared" si="25"/>
        <v>30</v>
      </c>
      <c r="DN38" s="355">
        <f t="shared" si="88"/>
        <v>1036.2410770654189</v>
      </c>
      <c r="DO38" s="355">
        <f t="shared" si="89"/>
        <v>4144.9643082616758</v>
      </c>
      <c r="DP38" s="355">
        <f t="shared" si="90"/>
        <v>2331.5424233971926</v>
      </c>
      <c r="DQ38" s="355">
        <f t="shared" si="91"/>
        <v>2383.3544772504633</v>
      </c>
      <c r="DR38" s="355">
        <f t="shared" si="92"/>
        <v>1813.421884864483</v>
      </c>
      <c r="DS38" s="355">
        <f t="shared" si="93"/>
        <v>1554.3616155981283</v>
      </c>
      <c r="DT38" s="355">
        <f t="shared" si="94"/>
        <v>1554.3616155981283</v>
      </c>
      <c r="DU38" s="355">
        <f t="shared" si="95"/>
        <v>1554.3616155981283</v>
      </c>
      <c r="DV38" s="355">
        <f t="shared" si="96"/>
        <v>1347.1134001850444</v>
      </c>
      <c r="DW38" s="355">
        <f t="shared" si="97"/>
        <v>414.49643082616757</v>
      </c>
      <c r="DX38" s="355">
        <f t="shared" si="98"/>
        <v>18134.218848644832</v>
      </c>
      <c r="DY38" s="351">
        <f t="shared" si="99"/>
        <v>45594.607390878431</v>
      </c>
      <c r="DZ38" s="351">
        <f t="shared" si="100"/>
        <v>182378.42956351372</v>
      </c>
      <c r="EA38" s="351">
        <f t="shared" si="101"/>
        <v>46630.848467943848</v>
      </c>
      <c r="EB38" s="351">
        <f t="shared" si="102"/>
        <v>71500.634317513905</v>
      </c>
      <c r="EC38" s="351">
        <f t="shared" si="103"/>
        <v>79790.562934037254</v>
      </c>
      <c r="ED38" s="351">
        <f t="shared" si="104"/>
        <v>46630.848467943848</v>
      </c>
      <c r="EE38" s="351">
        <f t="shared" si="105"/>
        <v>31087.232311962565</v>
      </c>
      <c r="EF38" s="351">
        <f t="shared" si="106"/>
        <v>31087.232311962565</v>
      </c>
      <c r="EG38" s="351">
        <f t="shared" si="107"/>
        <v>40413.402005551332</v>
      </c>
      <c r="EH38" s="351">
        <f t="shared" si="108"/>
        <v>12434.892924785026</v>
      </c>
      <c r="EI38" s="352">
        <f t="shared" si="109"/>
        <v>587548.69069609256</v>
      </c>
      <c r="EJ38" s="355">
        <f t="shared" si="110"/>
        <v>1036.2410770654189</v>
      </c>
      <c r="EK38" s="355">
        <f t="shared" si="111"/>
        <v>4144.9643082616758</v>
      </c>
      <c r="EL38" s="355">
        <f t="shared" si="112"/>
        <v>0</v>
      </c>
      <c r="EM38" s="355">
        <f t="shared" si="113"/>
        <v>0</v>
      </c>
      <c r="EN38" s="355">
        <f t="shared" si="114"/>
        <v>1813.421884864483</v>
      </c>
      <c r="EO38" s="355">
        <f t="shared" si="115"/>
        <v>0</v>
      </c>
      <c r="EP38" s="355">
        <f t="shared" si="116"/>
        <v>0</v>
      </c>
      <c r="EQ38" s="355">
        <f t="shared" si="117"/>
        <v>0</v>
      </c>
      <c r="ER38" s="355">
        <f t="shared" si="118"/>
        <v>0</v>
      </c>
      <c r="ES38" s="355">
        <f t="shared" si="119"/>
        <v>0</v>
      </c>
      <c r="ET38" s="353">
        <f t="shared" si="120"/>
        <v>6994.6272701915777</v>
      </c>
      <c r="EU38" s="358"/>
      <c r="EV38" s="358"/>
      <c r="EW38" s="358"/>
      <c r="EX38" s="358"/>
      <c r="EY38" s="358"/>
      <c r="EZ38" s="358"/>
      <c r="FA38" s="351"/>
      <c r="FC38" s="633" t="s">
        <v>1611</v>
      </c>
      <c r="FD38" s="633"/>
      <c r="FE38" s="633"/>
      <c r="FF38" s="633"/>
      <c r="FG38" s="633"/>
    </row>
    <row r="39" spans="1:164" ht="35" customHeight="1" x14ac:dyDescent="0.3">
      <c r="A39" s="330" t="s">
        <v>1750</v>
      </c>
      <c r="B39" s="318" t="s">
        <v>1095</v>
      </c>
      <c r="C39" s="318" t="s">
        <v>72</v>
      </c>
      <c r="D39" s="318" t="s">
        <v>321</v>
      </c>
      <c r="E39" s="318" t="s">
        <v>8</v>
      </c>
      <c r="F39" s="318" t="s">
        <v>285</v>
      </c>
      <c r="G39" s="318" t="s">
        <v>1174</v>
      </c>
      <c r="H39" s="318" t="s">
        <v>922</v>
      </c>
      <c r="I39" s="318" t="s">
        <v>923</v>
      </c>
      <c r="J39" s="318" t="s">
        <v>1045</v>
      </c>
      <c r="K39" s="318" t="s">
        <v>1050</v>
      </c>
      <c r="L39" s="318" t="s">
        <v>1055</v>
      </c>
      <c r="M39" s="318" t="s">
        <v>1060</v>
      </c>
      <c r="N39" s="318" t="s">
        <v>1069</v>
      </c>
      <c r="O39" s="318" t="s">
        <v>1072</v>
      </c>
      <c r="P39" s="318" t="s">
        <v>1079</v>
      </c>
      <c r="Q39" s="318" t="s">
        <v>1080</v>
      </c>
      <c r="R39" s="318" t="s">
        <v>1086</v>
      </c>
      <c r="S39" s="318" t="s">
        <v>1089</v>
      </c>
      <c r="T39" s="318" t="s">
        <v>102</v>
      </c>
      <c r="U39" s="318" t="s">
        <v>102</v>
      </c>
      <c r="V39" s="318" t="s">
        <v>102</v>
      </c>
      <c r="W39" s="318" t="s">
        <v>102</v>
      </c>
      <c r="X39" s="318" t="s">
        <v>102</v>
      </c>
      <c r="Y39" s="318" t="s">
        <v>102</v>
      </c>
      <c r="Z39" s="318" t="s">
        <v>102</v>
      </c>
      <c r="AA39" s="318" t="s">
        <v>102</v>
      </c>
      <c r="AB39" s="318" t="s">
        <v>102</v>
      </c>
      <c r="AC39" s="318" t="s">
        <v>102</v>
      </c>
      <c r="AD39" s="318" t="s">
        <v>1771</v>
      </c>
      <c r="AE39" s="318">
        <v>140</v>
      </c>
      <c r="AF39" s="318">
        <v>40</v>
      </c>
      <c r="AG39" s="318">
        <v>2013</v>
      </c>
      <c r="AH39" s="318" t="s">
        <v>800</v>
      </c>
      <c r="AI39" s="318">
        <v>2013</v>
      </c>
      <c r="AJ39" s="318" t="s">
        <v>800</v>
      </c>
      <c r="AK39" s="318"/>
      <c r="AL39" s="318"/>
      <c r="AM39" s="317">
        <f t="shared" si="82"/>
        <v>172082.60269366857</v>
      </c>
      <c r="AN39" s="318" t="s">
        <v>800</v>
      </c>
      <c r="AO39" s="511">
        <f t="shared" si="83"/>
        <v>67820.790473387038</v>
      </c>
      <c r="AP39" s="511">
        <f t="shared" si="84"/>
        <v>104261.81222028153</v>
      </c>
      <c r="AQ39" s="511">
        <f t="shared" si="85"/>
        <v>7535.6433859318913</v>
      </c>
      <c r="AR39" s="511">
        <f t="shared" si="86"/>
        <v>96726.168834349635</v>
      </c>
      <c r="AS39" s="511">
        <f>HLOOKUP($C$1,'Inflation Adjustments'!$BI$3:$BT$4,2)*CQ39</f>
        <v>319751.73562499997</v>
      </c>
      <c r="AT39" s="511">
        <f>IF(BU39="In Service",'Maintenace Cost Assumptions'!$B$3*AS39,0)</f>
        <v>1598.758678125</v>
      </c>
      <c r="AU39" s="318">
        <v>3</v>
      </c>
      <c r="AV39" s="318">
        <v>3</v>
      </c>
      <c r="AW39" s="318">
        <v>3</v>
      </c>
      <c r="AX39" s="318">
        <v>3</v>
      </c>
      <c r="AY39" s="318">
        <v>3</v>
      </c>
      <c r="AZ39" s="318">
        <v>3</v>
      </c>
      <c r="BA39" s="318">
        <v>3</v>
      </c>
      <c r="BB39" s="318"/>
      <c r="BC39" s="318"/>
      <c r="BD39" s="318"/>
      <c r="BE39" s="318">
        <v>4</v>
      </c>
      <c r="BF39" s="318"/>
      <c r="BG39" s="332">
        <f>(AU39*'Condition rating weights'!H$8+AV39*'Condition rating weights'!I$8+AW39*'Condition rating weights'!J$8+AX39*'Condition rating weights'!K$8+AY39*'Condition rating weights'!L$8+AZ39*'Condition rating weights'!M$8+BA39*'Condition rating weights'!N$8+BB39*'Condition rating weights'!O$8+BC39*'Condition rating weights'!P$8+BD39*'Condition rating weights'!Q$8+BE39*'Condition rating weights'!R$8+BF39*'Condition rating weights'!S$8)/100</f>
        <v>0.66</v>
      </c>
      <c r="BH39" s="333">
        <v>1</v>
      </c>
      <c r="BI39" s="333">
        <v>411</v>
      </c>
      <c r="BJ39" s="333" t="s">
        <v>12</v>
      </c>
      <c r="BK39" s="333" t="s">
        <v>959</v>
      </c>
      <c r="BL39" s="333" t="s">
        <v>960</v>
      </c>
      <c r="BM39" s="333" t="s">
        <v>1030</v>
      </c>
      <c r="BN39" s="333" t="s">
        <v>117</v>
      </c>
      <c r="BO39" s="333" t="s">
        <v>962</v>
      </c>
      <c r="BP39" s="333" t="s">
        <v>962</v>
      </c>
      <c r="BQ39" s="333" t="s">
        <v>963</v>
      </c>
      <c r="BR39" s="333" t="s">
        <v>964</v>
      </c>
      <c r="BS39" s="333" t="s">
        <v>964</v>
      </c>
      <c r="BT39" s="334" t="s">
        <v>965</v>
      </c>
      <c r="BU39" s="335" t="s">
        <v>1429</v>
      </c>
      <c r="BV39" s="282"/>
      <c r="BW39" s="282"/>
      <c r="BX39" s="282"/>
      <c r="BY39" s="282"/>
      <c r="BZ39" s="282"/>
      <c r="CA39" s="282"/>
      <c r="CB39" s="282"/>
      <c r="CC39" s="282"/>
      <c r="CD39" s="282"/>
      <c r="CE39" s="282"/>
      <c r="CF39" s="282"/>
      <c r="CG39" s="351">
        <f t="shared" si="5"/>
        <v>21000</v>
      </c>
      <c r="CH39" s="351">
        <f t="shared" si="6"/>
        <v>70000</v>
      </c>
      <c r="CI39" s="351">
        <f t="shared" si="7"/>
        <v>14000</v>
      </c>
      <c r="CJ39" s="351">
        <f t="shared" si="8"/>
        <v>21000</v>
      </c>
      <c r="CK39" s="351">
        <f t="shared" si="9"/>
        <v>35000</v>
      </c>
      <c r="CL39" s="351">
        <f t="shared" si="10"/>
        <v>14000</v>
      </c>
      <c r="CM39" s="351">
        <f t="shared" si="11"/>
        <v>11200</v>
      </c>
      <c r="CN39" s="351">
        <f t="shared" si="12"/>
        <v>11200</v>
      </c>
      <c r="CO39" s="351">
        <f t="shared" si="13"/>
        <v>14000</v>
      </c>
      <c r="CP39" s="351">
        <f t="shared" si="14"/>
        <v>2800</v>
      </c>
      <c r="CQ39" s="352">
        <f t="shared" si="87"/>
        <v>214200</v>
      </c>
      <c r="CR39" s="353">
        <f>(HLOOKUP($AI39,'Inflation Adjustments'!$B$3:$BT$4,2,TRUE))*CG39</f>
        <v>16870.843401340058</v>
      </c>
      <c r="CS39" s="353">
        <f>(HLOOKUP($AI39,'Inflation Adjustments'!$B$3:$BT$4,2,TRUE))*CH39</f>
        <v>56236.14467113353</v>
      </c>
      <c r="CT39" s="353">
        <f>(HLOOKUP($AI39,'Inflation Adjustments'!$B$3:$BT$4,2,TRUE))*CI39</f>
        <v>11247.228934226707</v>
      </c>
      <c r="CU39" s="353">
        <f>(HLOOKUP($AI39,'Inflation Adjustments'!$B$3:$BT$4,2,TRUE))*CJ39</f>
        <v>16870.843401340058</v>
      </c>
      <c r="CV39" s="353">
        <f>(HLOOKUP($AI39,'Inflation Adjustments'!$B$3:$BT$4,2,TRUE))*CK39</f>
        <v>28118.072335566765</v>
      </c>
      <c r="CW39" s="353">
        <f>(HLOOKUP($AI39,'Inflation Adjustments'!$B$3:$BT$4,2,TRUE))*CL39</f>
        <v>11247.228934226707</v>
      </c>
      <c r="CX39" s="353">
        <f>(HLOOKUP($AI39,'Inflation Adjustments'!$B$3:$BT$4,2,TRUE))*CM39</f>
        <v>8997.7831473813658</v>
      </c>
      <c r="CY39" s="353">
        <f>(HLOOKUP($AI39,'Inflation Adjustments'!$B$3:$BT$4,2,TRUE))*CN39</f>
        <v>8997.7831473813658</v>
      </c>
      <c r="CZ39" s="353">
        <f>(HLOOKUP($AI39,'Inflation Adjustments'!$B$3:$BT$4,2,TRUE))*CO39</f>
        <v>11247.228934226707</v>
      </c>
      <c r="DA39" s="353">
        <f>(HLOOKUP($AI39,'Inflation Adjustments'!$B$3:$BT$4,2,TRUE))*CP39</f>
        <v>2249.4457868453414</v>
      </c>
      <c r="DB39" s="353">
        <f t="shared" si="39"/>
        <v>172082.60269366857</v>
      </c>
      <c r="DC39" s="354">
        <f t="shared" si="54"/>
        <v>9</v>
      </c>
      <c r="DD39" s="351">
        <f t="shared" si="16"/>
        <v>40</v>
      </c>
      <c r="DE39" s="351">
        <f t="shared" si="17"/>
        <v>40</v>
      </c>
      <c r="DF39" s="351">
        <f t="shared" si="18"/>
        <v>10</v>
      </c>
      <c r="DG39" s="351">
        <f t="shared" si="19"/>
        <v>20</v>
      </c>
      <c r="DH39" s="351">
        <f t="shared" si="20"/>
        <v>40</v>
      </c>
      <c r="DI39" s="351">
        <f t="shared" si="21"/>
        <v>20</v>
      </c>
      <c r="DJ39" s="351">
        <f t="shared" si="22"/>
        <v>10</v>
      </c>
      <c r="DK39" s="351">
        <f t="shared" si="23"/>
        <v>10</v>
      </c>
      <c r="DL39" s="351">
        <f t="shared" si="24"/>
        <v>20</v>
      </c>
      <c r="DM39" s="351">
        <f t="shared" si="25"/>
        <v>20</v>
      </c>
      <c r="DN39" s="355">
        <f t="shared" si="88"/>
        <v>421.77108503350144</v>
      </c>
      <c r="DO39" s="355">
        <f t="shared" si="89"/>
        <v>1405.9036167783383</v>
      </c>
      <c r="DP39" s="355">
        <f t="shared" si="90"/>
        <v>1124.7228934226707</v>
      </c>
      <c r="DQ39" s="355">
        <f t="shared" si="91"/>
        <v>843.54217006700287</v>
      </c>
      <c r="DR39" s="355">
        <f t="shared" si="92"/>
        <v>702.95180838916917</v>
      </c>
      <c r="DS39" s="355">
        <f t="shared" si="93"/>
        <v>562.36144671133536</v>
      </c>
      <c r="DT39" s="355">
        <f t="shared" si="94"/>
        <v>899.7783147381366</v>
      </c>
      <c r="DU39" s="355">
        <f t="shared" si="95"/>
        <v>899.7783147381366</v>
      </c>
      <c r="DV39" s="355">
        <f t="shared" si="96"/>
        <v>562.36144671133536</v>
      </c>
      <c r="DW39" s="355">
        <f t="shared" si="97"/>
        <v>112.47228934226708</v>
      </c>
      <c r="DX39" s="355">
        <f t="shared" si="98"/>
        <v>7535.643385931895</v>
      </c>
      <c r="DY39" s="351">
        <f t="shared" si="99"/>
        <v>3795.939765301513</v>
      </c>
      <c r="DZ39" s="351">
        <f t="shared" si="100"/>
        <v>12653.132551005045</v>
      </c>
      <c r="EA39" s="351">
        <f t="shared" si="101"/>
        <v>10122.506040804037</v>
      </c>
      <c r="EB39" s="351">
        <f t="shared" si="102"/>
        <v>7591.8795306030261</v>
      </c>
      <c r="EC39" s="351">
        <f t="shared" si="103"/>
        <v>6326.5662755025223</v>
      </c>
      <c r="ED39" s="351">
        <f t="shared" si="104"/>
        <v>5061.2530204020186</v>
      </c>
      <c r="EE39" s="351">
        <f t="shared" si="105"/>
        <v>8098.0048326432297</v>
      </c>
      <c r="EF39" s="351">
        <f t="shared" si="106"/>
        <v>8098.0048326432297</v>
      </c>
      <c r="EG39" s="351">
        <f t="shared" si="107"/>
        <v>5061.2530204020186</v>
      </c>
      <c r="EH39" s="351">
        <f t="shared" si="108"/>
        <v>1012.2506040804037</v>
      </c>
      <c r="EI39" s="352">
        <f t="shared" si="109"/>
        <v>67820.790473387038</v>
      </c>
      <c r="EJ39" s="355">
        <f t="shared" si="110"/>
        <v>421.77108503350144</v>
      </c>
      <c r="EK39" s="355">
        <f t="shared" si="111"/>
        <v>1405.9036167783383</v>
      </c>
      <c r="EL39" s="355">
        <f t="shared" si="112"/>
        <v>1124.7228934226696</v>
      </c>
      <c r="EM39" s="355">
        <f t="shared" si="113"/>
        <v>843.54217006700287</v>
      </c>
      <c r="EN39" s="355">
        <f t="shared" si="114"/>
        <v>702.95180838916917</v>
      </c>
      <c r="EO39" s="355">
        <f t="shared" si="115"/>
        <v>562.36144671133536</v>
      </c>
      <c r="EP39" s="355">
        <f t="shared" si="116"/>
        <v>899.77831473813603</v>
      </c>
      <c r="EQ39" s="355">
        <f t="shared" si="117"/>
        <v>899.77831473813603</v>
      </c>
      <c r="ER39" s="355">
        <f t="shared" si="118"/>
        <v>562.36144671133536</v>
      </c>
      <c r="ES39" s="355">
        <f t="shared" si="119"/>
        <v>112.47228934226708</v>
      </c>
      <c r="ET39" s="353">
        <f t="shared" si="120"/>
        <v>7535.6433859318913</v>
      </c>
      <c r="EU39" s="358"/>
      <c r="EV39" s="358"/>
      <c r="EW39" s="358"/>
      <c r="EX39" s="358"/>
      <c r="EY39" s="358"/>
      <c r="EZ39" s="358"/>
      <c r="FA39" s="351"/>
    </row>
    <row r="40" spans="1:164" ht="35" customHeight="1" x14ac:dyDescent="0.3">
      <c r="A40" s="330" t="s">
        <v>1751</v>
      </c>
      <c r="B40" s="318" t="s">
        <v>1096</v>
      </c>
      <c r="C40" s="318" t="s">
        <v>72</v>
      </c>
      <c r="D40" s="318" t="s">
        <v>321</v>
      </c>
      <c r="E40" s="318" t="s">
        <v>8</v>
      </c>
      <c r="F40" s="318" t="s">
        <v>949</v>
      </c>
      <c r="G40" s="318" t="s">
        <v>1174</v>
      </c>
      <c r="H40" s="318" t="s">
        <v>922</v>
      </c>
      <c r="I40" s="318" t="s">
        <v>923</v>
      </c>
      <c r="J40" s="318" t="s">
        <v>1045</v>
      </c>
      <c r="K40" s="318" t="s">
        <v>1050</v>
      </c>
      <c r="L40" s="318" t="s">
        <v>1055</v>
      </c>
      <c r="M40" s="318" t="s">
        <v>1060</v>
      </c>
      <c r="N40" s="318" t="s">
        <v>1069</v>
      </c>
      <c r="O40" s="318" t="s">
        <v>1072</v>
      </c>
      <c r="P40" s="318" t="s">
        <v>1079</v>
      </c>
      <c r="Q40" s="318" t="s">
        <v>1080</v>
      </c>
      <c r="R40" s="318" t="s">
        <v>1086</v>
      </c>
      <c r="S40" s="318" t="s">
        <v>1089</v>
      </c>
      <c r="T40" s="318" t="s">
        <v>102</v>
      </c>
      <c r="U40" s="318" t="s">
        <v>102</v>
      </c>
      <c r="V40" s="318" t="s">
        <v>102</v>
      </c>
      <c r="W40" s="318" t="s">
        <v>102</v>
      </c>
      <c r="X40" s="318" t="s">
        <v>102</v>
      </c>
      <c r="Y40" s="318" t="s">
        <v>102</v>
      </c>
      <c r="Z40" s="318" t="s">
        <v>102</v>
      </c>
      <c r="AA40" s="318" t="s">
        <v>102</v>
      </c>
      <c r="AB40" s="318" t="s">
        <v>102</v>
      </c>
      <c r="AC40" s="318" t="s">
        <v>102</v>
      </c>
      <c r="AD40" s="318" t="s">
        <v>1771</v>
      </c>
      <c r="AE40" s="318">
        <v>72</v>
      </c>
      <c r="AF40" s="318">
        <v>40</v>
      </c>
      <c r="AG40" s="318">
        <v>2013</v>
      </c>
      <c r="AH40" s="318" t="s">
        <v>800</v>
      </c>
      <c r="AI40" s="318">
        <v>2013</v>
      </c>
      <c r="AJ40" s="318" t="s">
        <v>800</v>
      </c>
      <c r="AK40" s="318"/>
      <c r="AL40" s="318"/>
      <c r="AM40" s="317">
        <f t="shared" si="82"/>
        <v>88499.624242458143</v>
      </c>
      <c r="AN40" s="318" t="s">
        <v>800</v>
      </c>
      <c r="AO40" s="511">
        <f t="shared" si="83"/>
        <v>34879.263672027628</v>
      </c>
      <c r="AP40" s="511">
        <f t="shared" si="84"/>
        <v>53620.360570430516</v>
      </c>
      <c r="AQ40" s="511">
        <f t="shared" si="85"/>
        <v>3875.4737413364014</v>
      </c>
      <c r="AR40" s="511">
        <f t="shared" si="86"/>
        <v>49744.886829094117</v>
      </c>
      <c r="AS40" s="511">
        <f>HLOOKUP($C$1,'Inflation Adjustments'!$BI$3:$BT$4,2)*CQ40</f>
        <v>164443.74974999999</v>
      </c>
      <c r="AT40" s="511">
        <f>IF(BU40="In Service",'Maintenace Cost Assumptions'!$B$3*AS40,0)</f>
        <v>822.21874874999992</v>
      </c>
      <c r="AU40" s="318">
        <v>3</v>
      </c>
      <c r="AV40" s="318">
        <v>3</v>
      </c>
      <c r="AW40" s="318">
        <v>3</v>
      </c>
      <c r="AX40" s="318">
        <v>3</v>
      </c>
      <c r="AY40" s="318">
        <v>3</v>
      </c>
      <c r="AZ40" s="318">
        <v>3</v>
      </c>
      <c r="BA40" s="318">
        <v>3</v>
      </c>
      <c r="BB40" s="318"/>
      <c r="BC40" s="318"/>
      <c r="BD40" s="318"/>
      <c r="BE40" s="318">
        <v>4</v>
      </c>
      <c r="BF40" s="318"/>
      <c r="BG40" s="332">
        <f>(AU40*'Condition rating weights'!H$8+AV40*'Condition rating weights'!I$8+AW40*'Condition rating weights'!J$8+AX40*'Condition rating weights'!K$8+AY40*'Condition rating weights'!L$8+AZ40*'Condition rating weights'!M$8+BA40*'Condition rating weights'!N$8+BB40*'Condition rating weights'!O$8+BC40*'Condition rating weights'!P$8+BD40*'Condition rating weights'!Q$8+BE40*'Condition rating weights'!R$8+BF40*'Condition rating weights'!S$8)/100</f>
        <v>0.66</v>
      </c>
      <c r="BH40" s="333">
        <v>1</v>
      </c>
      <c r="BI40" s="333">
        <v>411</v>
      </c>
      <c r="BJ40" s="333" t="s">
        <v>12</v>
      </c>
      <c r="BK40" s="333" t="s">
        <v>959</v>
      </c>
      <c r="BL40" s="333" t="s">
        <v>960</v>
      </c>
      <c r="BM40" s="333" t="s">
        <v>1030</v>
      </c>
      <c r="BN40" s="333" t="s">
        <v>117</v>
      </c>
      <c r="BO40" s="333" t="s">
        <v>962</v>
      </c>
      <c r="BP40" s="333" t="s">
        <v>962</v>
      </c>
      <c r="BQ40" s="333" t="s">
        <v>963</v>
      </c>
      <c r="BR40" s="333" t="s">
        <v>964</v>
      </c>
      <c r="BS40" s="333" t="s">
        <v>964</v>
      </c>
      <c r="BT40" s="334" t="s">
        <v>965</v>
      </c>
      <c r="BU40" s="335" t="s">
        <v>1429</v>
      </c>
      <c r="BV40" s="282"/>
      <c r="BW40" s="282"/>
      <c r="BX40" s="282"/>
      <c r="BY40" s="282"/>
      <c r="BZ40" s="282"/>
      <c r="CA40" s="282"/>
      <c r="CB40" s="282"/>
      <c r="CC40" s="282"/>
      <c r="CD40" s="282"/>
      <c r="CE40" s="282"/>
      <c r="CF40" s="282"/>
      <c r="CG40" s="351">
        <f t="shared" si="5"/>
        <v>10800</v>
      </c>
      <c r="CH40" s="351">
        <f t="shared" si="6"/>
        <v>36000</v>
      </c>
      <c r="CI40" s="351">
        <f t="shared" si="7"/>
        <v>7200</v>
      </c>
      <c r="CJ40" s="351">
        <f t="shared" si="8"/>
        <v>10800</v>
      </c>
      <c r="CK40" s="351">
        <f t="shared" si="9"/>
        <v>18000</v>
      </c>
      <c r="CL40" s="351">
        <f t="shared" si="10"/>
        <v>7200</v>
      </c>
      <c r="CM40" s="351">
        <f t="shared" si="11"/>
        <v>5760</v>
      </c>
      <c r="CN40" s="351">
        <f t="shared" si="12"/>
        <v>5760</v>
      </c>
      <c r="CO40" s="351">
        <f t="shared" si="13"/>
        <v>7200</v>
      </c>
      <c r="CP40" s="351">
        <f t="shared" si="14"/>
        <v>1440</v>
      </c>
      <c r="CQ40" s="352">
        <f t="shared" si="87"/>
        <v>110160</v>
      </c>
      <c r="CR40" s="353">
        <f>(HLOOKUP($AI40,'Inflation Adjustments'!$B$3:$BT$4,2,TRUE))*CG40</f>
        <v>8676.4337492606028</v>
      </c>
      <c r="CS40" s="353">
        <f>(HLOOKUP($AI40,'Inflation Adjustments'!$B$3:$BT$4,2,TRUE))*CH40</f>
        <v>28921.445830868674</v>
      </c>
      <c r="CT40" s="353">
        <f>(HLOOKUP($AI40,'Inflation Adjustments'!$B$3:$BT$4,2,TRUE))*CI40</f>
        <v>5784.2891661737349</v>
      </c>
      <c r="CU40" s="353">
        <f>(HLOOKUP($AI40,'Inflation Adjustments'!$B$3:$BT$4,2,TRUE))*CJ40</f>
        <v>8676.4337492606028</v>
      </c>
      <c r="CV40" s="353">
        <f>(HLOOKUP($AI40,'Inflation Adjustments'!$B$3:$BT$4,2,TRUE))*CK40</f>
        <v>14460.722915434337</v>
      </c>
      <c r="CW40" s="353">
        <f>(HLOOKUP($AI40,'Inflation Adjustments'!$B$3:$BT$4,2,TRUE))*CL40</f>
        <v>5784.2891661737349</v>
      </c>
      <c r="CX40" s="353">
        <f>(HLOOKUP($AI40,'Inflation Adjustments'!$B$3:$BT$4,2,TRUE))*CM40</f>
        <v>4627.4313329389879</v>
      </c>
      <c r="CY40" s="353">
        <f>(HLOOKUP($AI40,'Inflation Adjustments'!$B$3:$BT$4,2,TRUE))*CN40</f>
        <v>4627.4313329389879</v>
      </c>
      <c r="CZ40" s="353">
        <f>(HLOOKUP($AI40,'Inflation Adjustments'!$B$3:$BT$4,2,TRUE))*CO40</f>
        <v>5784.2891661737349</v>
      </c>
      <c r="DA40" s="353">
        <f>(HLOOKUP($AI40,'Inflation Adjustments'!$B$3:$BT$4,2,TRUE))*CP40</f>
        <v>1156.857833234747</v>
      </c>
      <c r="DB40" s="353">
        <f t="shared" si="39"/>
        <v>88499.624242458143</v>
      </c>
      <c r="DC40" s="354">
        <f t="shared" si="54"/>
        <v>9</v>
      </c>
      <c r="DD40" s="351">
        <f t="shared" si="16"/>
        <v>40</v>
      </c>
      <c r="DE40" s="351">
        <f t="shared" si="17"/>
        <v>40</v>
      </c>
      <c r="DF40" s="351">
        <f t="shared" si="18"/>
        <v>10</v>
      </c>
      <c r="DG40" s="351">
        <f t="shared" si="19"/>
        <v>20</v>
      </c>
      <c r="DH40" s="351">
        <f t="shared" si="20"/>
        <v>40</v>
      </c>
      <c r="DI40" s="351">
        <f t="shared" si="21"/>
        <v>20</v>
      </c>
      <c r="DJ40" s="351">
        <f t="shared" si="22"/>
        <v>10</v>
      </c>
      <c r="DK40" s="351">
        <f t="shared" si="23"/>
        <v>10</v>
      </c>
      <c r="DL40" s="351">
        <f t="shared" si="24"/>
        <v>20</v>
      </c>
      <c r="DM40" s="351">
        <f t="shared" si="25"/>
        <v>20</v>
      </c>
      <c r="DN40" s="355">
        <f t="shared" si="88"/>
        <v>216.91084373151506</v>
      </c>
      <c r="DO40" s="355">
        <f t="shared" si="89"/>
        <v>723.03614577171686</v>
      </c>
      <c r="DP40" s="355">
        <f t="shared" si="90"/>
        <v>578.42891661737349</v>
      </c>
      <c r="DQ40" s="355">
        <f t="shared" si="91"/>
        <v>433.82168746303012</v>
      </c>
      <c r="DR40" s="355">
        <f t="shared" si="92"/>
        <v>361.51807288585843</v>
      </c>
      <c r="DS40" s="355">
        <f t="shared" si="93"/>
        <v>289.21445830868674</v>
      </c>
      <c r="DT40" s="355">
        <f t="shared" si="94"/>
        <v>462.74313329389878</v>
      </c>
      <c r="DU40" s="355">
        <f t="shared" si="95"/>
        <v>462.74313329389878</v>
      </c>
      <c r="DV40" s="355">
        <f t="shared" si="96"/>
        <v>289.21445830868674</v>
      </c>
      <c r="DW40" s="355">
        <f t="shared" si="97"/>
        <v>57.842891661737347</v>
      </c>
      <c r="DX40" s="355">
        <f t="shared" si="98"/>
        <v>3875.4737413364014</v>
      </c>
      <c r="DY40" s="351">
        <f t="shared" si="99"/>
        <v>1952.1975935836356</v>
      </c>
      <c r="DZ40" s="351">
        <f t="shared" si="100"/>
        <v>6507.3253119454521</v>
      </c>
      <c r="EA40" s="351">
        <f t="shared" si="101"/>
        <v>5205.8602495563609</v>
      </c>
      <c r="EB40" s="351">
        <f t="shared" si="102"/>
        <v>3904.3951871672712</v>
      </c>
      <c r="EC40" s="351">
        <f t="shared" si="103"/>
        <v>3253.662655972726</v>
      </c>
      <c r="ED40" s="351">
        <f t="shared" si="104"/>
        <v>2602.9301247781805</v>
      </c>
      <c r="EE40" s="351">
        <f t="shared" si="105"/>
        <v>4164.6881996450893</v>
      </c>
      <c r="EF40" s="351">
        <f t="shared" si="106"/>
        <v>4164.6881996450893</v>
      </c>
      <c r="EG40" s="351">
        <f t="shared" si="107"/>
        <v>2602.9301247781805</v>
      </c>
      <c r="EH40" s="351">
        <f t="shared" si="108"/>
        <v>520.58602495563616</v>
      </c>
      <c r="EI40" s="352">
        <f t="shared" si="109"/>
        <v>34879.263672027628</v>
      </c>
      <c r="EJ40" s="355">
        <f t="shared" si="110"/>
        <v>216.91084373151506</v>
      </c>
      <c r="EK40" s="355">
        <f t="shared" si="111"/>
        <v>723.03614577171686</v>
      </c>
      <c r="EL40" s="355">
        <f t="shared" si="112"/>
        <v>578.42891661737349</v>
      </c>
      <c r="EM40" s="355">
        <f t="shared" si="113"/>
        <v>433.82168746303012</v>
      </c>
      <c r="EN40" s="355">
        <f t="shared" si="114"/>
        <v>361.51807288585843</v>
      </c>
      <c r="EO40" s="355">
        <f t="shared" si="115"/>
        <v>289.21445830868674</v>
      </c>
      <c r="EP40" s="355">
        <f t="shared" si="116"/>
        <v>462.74313329389861</v>
      </c>
      <c r="EQ40" s="355">
        <f t="shared" si="117"/>
        <v>462.74313329389861</v>
      </c>
      <c r="ER40" s="355">
        <f t="shared" si="118"/>
        <v>289.21445830868674</v>
      </c>
      <c r="ES40" s="355">
        <f t="shared" si="119"/>
        <v>57.842891661737347</v>
      </c>
      <c r="ET40" s="353">
        <f t="shared" si="120"/>
        <v>3875.4737413364014</v>
      </c>
      <c r="EU40" s="358"/>
      <c r="EV40" s="358"/>
      <c r="EW40" s="358"/>
      <c r="EX40" s="358"/>
      <c r="EY40" s="358"/>
      <c r="EZ40" s="358"/>
      <c r="FA40" s="351"/>
    </row>
    <row r="41" spans="1:164" ht="35" customHeight="1" x14ac:dyDescent="0.3">
      <c r="A41" s="330" t="s">
        <v>1752</v>
      </c>
      <c r="B41" s="318" t="s">
        <v>808</v>
      </c>
      <c r="C41" s="318" t="s">
        <v>72</v>
      </c>
      <c r="D41" s="318" t="s">
        <v>74</v>
      </c>
      <c r="E41" s="318" t="s">
        <v>8</v>
      </c>
      <c r="F41" s="318" t="s">
        <v>945</v>
      </c>
      <c r="G41" s="318" t="s">
        <v>724</v>
      </c>
      <c r="H41" s="318" t="s">
        <v>924</v>
      </c>
      <c r="I41" s="318" t="s">
        <v>925</v>
      </c>
      <c r="J41" s="318" t="s">
        <v>1045</v>
      </c>
      <c r="K41" s="318" t="s">
        <v>1046</v>
      </c>
      <c r="L41" s="318" t="s">
        <v>1056</v>
      </c>
      <c r="M41" s="318" t="s">
        <v>1059</v>
      </c>
      <c r="N41" s="318" t="s">
        <v>1069</v>
      </c>
      <c r="O41" s="318" t="s">
        <v>1072</v>
      </c>
      <c r="P41" s="318" t="s">
        <v>1079</v>
      </c>
      <c r="Q41" s="318" t="s">
        <v>1080</v>
      </c>
      <c r="R41" s="318" t="s">
        <v>1087</v>
      </c>
      <c r="S41" s="318" t="s">
        <v>1089</v>
      </c>
      <c r="T41" s="318" t="s">
        <v>104</v>
      </c>
      <c r="U41" s="318" t="s">
        <v>104</v>
      </c>
      <c r="V41" s="318" t="s">
        <v>104</v>
      </c>
      <c r="W41" s="318" t="s">
        <v>104</v>
      </c>
      <c r="X41" s="318" t="s">
        <v>104</v>
      </c>
      <c r="Y41" s="318" t="s">
        <v>104</v>
      </c>
      <c r="Z41" s="318" t="s">
        <v>104</v>
      </c>
      <c r="AA41" s="318" t="s">
        <v>104</v>
      </c>
      <c r="AB41" s="318" t="s">
        <v>104</v>
      </c>
      <c r="AC41" s="318" t="s">
        <v>104</v>
      </c>
      <c r="AD41" s="318" t="s">
        <v>1771</v>
      </c>
      <c r="AE41" s="318">
        <v>2209</v>
      </c>
      <c r="AF41" s="318">
        <v>60</v>
      </c>
      <c r="AG41" s="318">
        <v>2010</v>
      </c>
      <c r="AH41" s="318" t="s">
        <v>800</v>
      </c>
      <c r="AI41" s="318">
        <v>2010</v>
      </c>
      <c r="AJ41" s="318" t="s">
        <v>800</v>
      </c>
      <c r="AK41" s="318"/>
      <c r="AL41" s="318"/>
      <c r="AM41" s="317">
        <f t="shared" ref="AM41:AM46" si="121">DB41+EV41</f>
        <v>4253280.3969767727</v>
      </c>
      <c r="AN41" s="318" t="s">
        <v>800</v>
      </c>
      <c r="AO41" s="511">
        <f t="shared" ref="AO41:AO46" si="122">EI41+EZ41</f>
        <v>1323242.790170552</v>
      </c>
      <c r="AP41" s="511">
        <f t="shared" ref="AP41:AP46" si="123">AM41-AO41</f>
        <v>2930037.6068062205</v>
      </c>
      <c r="AQ41" s="511">
        <f t="shared" ref="AQ41:AQ46" si="124">ET41+FA41</f>
        <v>110270.23251421262</v>
      </c>
      <c r="AR41" s="511">
        <f t="shared" ref="AR41:AR46" si="125">AP41-AQ41</f>
        <v>2819767.3742920076</v>
      </c>
      <c r="AS41" s="511">
        <f>HLOOKUP($C$1,'Inflation Adjustments'!$BI$3:$BT$4,2)*CQ41</f>
        <v>7419449.4117187494</v>
      </c>
      <c r="AT41" s="511">
        <f>IF(BU41="In Service",'Maintenace Cost Assumptions'!$B$3*AS41,0)</f>
        <v>37097.247058593748</v>
      </c>
      <c r="AU41" s="318">
        <v>4</v>
      </c>
      <c r="AV41" s="318">
        <v>4</v>
      </c>
      <c r="AW41" s="318">
        <v>4</v>
      </c>
      <c r="AX41" s="318">
        <v>4</v>
      </c>
      <c r="AY41" s="318">
        <v>4</v>
      </c>
      <c r="AZ41" s="318">
        <v>4</v>
      </c>
      <c r="BA41" s="318">
        <v>4</v>
      </c>
      <c r="BB41" s="318"/>
      <c r="BC41" s="318"/>
      <c r="BD41" s="318"/>
      <c r="BE41" s="318">
        <v>4</v>
      </c>
      <c r="BF41" s="318"/>
      <c r="BG41" s="332">
        <f>(AU41*'Condition rating weights'!H$8+AV41*'Condition rating weights'!I$8+AW41*'Condition rating weights'!J$8+AX41*'Condition rating weights'!K$8+AY41*'Condition rating weights'!L$8+AZ41*'Condition rating weights'!M$8+BA41*'Condition rating weights'!N$8+BB41*'Condition rating weights'!O$8+BC41*'Condition rating weights'!P$8+BD41*'Condition rating weights'!Q$8+BE41*'Condition rating weights'!R$8+BF41*'Condition rating weights'!S$8)/100</f>
        <v>0.8</v>
      </c>
      <c r="BH41" s="333">
        <v>1</v>
      </c>
      <c r="BI41" s="333">
        <v>221</v>
      </c>
      <c r="BJ41" s="333" t="s">
        <v>12</v>
      </c>
      <c r="BK41" s="333" t="s">
        <v>959</v>
      </c>
      <c r="BL41" s="333" t="s">
        <v>960</v>
      </c>
      <c r="BM41" s="333" t="s">
        <v>961</v>
      </c>
      <c r="BN41" s="333" t="s">
        <v>117</v>
      </c>
      <c r="BO41" s="333" t="s">
        <v>962</v>
      </c>
      <c r="BP41" s="333" t="s">
        <v>962</v>
      </c>
      <c r="BQ41" s="333" t="s">
        <v>963</v>
      </c>
      <c r="BR41" s="333" t="s">
        <v>964</v>
      </c>
      <c r="BS41" s="333" t="s">
        <v>964</v>
      </c>
      <c r="BT41" s="334" t="s">
        <v>965</v>
      </c>
      <c r="BU41" s="335" t="s">
        <v>1429</v>
      </c>
      <c r="BV41" s="282"/>
      <c r="BW41" s="282"/>
      <c r="BX41" s="282"/>
      <c r="BY41" s="282"/>
      <c r="BZ41" s="282"/>
      <c r="CA41" s="282"/>
      <c r="CB41" s="282"/>
      <c r="CC41" s="282"/>
      <c r="CD41" s="282"/>
      <c r="CE41" s="282"/>
      <c r="CF41" s="282"/>
      <c r="CG41" s="351">
        <f t="shared" si="5"/>
        <v>441800</v>
      </c>
      <c r="CH41" s="351">
        <f t="shared" si="6"/>
        <v>1767200</v>
      </c>
      <c r="CI41" s="351">
        <f t="shared" si="7"/>
        <v>331350</v>
      </c>
      <c r="CJ41" s="351">
        <f t="shared" si="8"/>
        <v>508070</v>
      </c>
      <c r="CK41" s="351">
        <f t="shared" si="9"/>
        <v>773150</v>
      </c>
      <c r="CL41" s="351">
        <f t="shared" si="10"/>
        <v>331350</v>
      </c>
      <c r="CM41" s="351">
        <f t="shared" si="11"/>
        <v>220900</v>
      </c>
      <c r="CN41" s="351">
        <f t="shared" si="12"/>
        <v>220900</v>
      </c>
      <c r="CO41" s="351">
        <f t="shared" si="13"/>
        <v>287170</v>
      </c>
      <c r="CP41" s="351">
        <f t="shared" si="14"/>
        <v>88360</v>
      </c>
      <c r="CQ41" s="352">
        <f t="shared" si="87"/>
        <v>4970250</v>
      </c>
      <c r="CR41" s="353">
        <f>(HLOOKUP($AI41,'Inflation Adjustments'!$B$3:$BT$4,2,TRUE))*CG41</f>
        <v>378069.36862015765</v>
      </c>
      <c r="CS41" s="353">
        <f>(HLOOKUP($AI41,'Inflation Adjustments'!$B$3:$BT$4,2,TRUE))*CH41</f>
        <v>1512277.4744806306</v>
      </c>
      <c r="CT41" s="353">
        <f>(HLOOKUP($AI41,'Inflation Adjustments'!$B$3:$BT$4,2,TRUE))*CI41</f>
        <v>283552.02646511822</v>
      </c>
      <c r="CU41" s="353">
        <f>(HLOOKUP($AI41,'Inflation Adjustments'!$B$3:$BT$4,2,TRUE))*CJ41</f>
        <v>434779.77391318127</v>
      </c>
      <c r="CV41" s="353">
        <f>(HLOOKUP($AI41,'Inflation Adjustments'!$B$3:$BT$4,2,TRUE))*CK41</f>
        <v>661621.39508527587</v>
      </c>
      <c r="CW41" s="353">
        <f>(HLOOKUP($AI41,'Inflation Adjustments'!$B$3:$BT$4,2,TRUE))*CL41</f>
        <v>283552.02646511822</v>
      </c>
      <c r="CX41" s="353">
        <f>(HLOOKUP($AI41,'Inflation Adjustments'!$B$3:$BT$4,2,TRUE))*CM41</f>
        <v>189034.68431007882</v>
      </c>
      <c r="CY41" s="353">
        <f>(HLOOKUP($AI41,'Inflation Adjustments'!$B$3:$BT$4,2,TRUE))*CN41</f>
        <v>189034.68431007882</v>
      </c>
      <c r="CZ41" s="353">
        <f>(HLOOKUP($AI41,'Inflation Adjustments'!$B$3:$BT$4,2,TRUE))*CO41</f>
        <v>245745.08960310247</v>
      </c>
      <c r="DA41" s="353">
        <f>(HLOOKUP($AI41,'Inflation Adjustments'!$B$3:$BT$4,2,TRUE))*CP41</f>
        <v>75613.873724031524</v>
      </c>
      <c r="DB41" s="353">
        <f t="shared" si="39"/>
        <v>4253280.3969767727</v>
      </c>
      <c r="DC41" s="354">
        <f t="shared" si="54"/>
        <v>12</v>
      </c>
      <c r="DD41" s="351">
        <f t="shared" si="16"/>
        <v>60</v>
      </c>
      <c r="DE41" s="351">
        <f t="shared" si="17"/>
        <v>60</v>
      </c>
      <c r="DF41" s="351">
        <f t="shared" si="18"/>
        <v>20</v>
      </c>
      <c r="DG41" s="351">
        <f t="shared" si="19"/>
        <v>30</v>
      </c>
      <c r="DH41" s="351">
        <f t="shared" si="20"/>
        <v>60</v>
      </c>
      <c r="DI41" s="351">
        <f t="shared" si="21"/>
        <v>30</v>
      </c>
      <c r="DJ41" s="351">
        <f t="shared" si="22"/>
        <v>20</v>
      </c>
      <c r="DK41" s="351">
        <f t="shared" si="23"/>
        <v>20</v>
      </c>
      <c r="DL41" s="351">
        <f t="shared" si="24"/>
        <v>30</v>
      </c>
      <c r="DM41" s="351">
        <f t="shared" si="25"/>
        <v>30</v>
      </c>
      <c r="DN41" s="355">
        <f t="shared" si="88"/>
        <v>6301.1561436692946</v>
      </c>
      <c r="DO41" s="355">
        <f t="shared" si="89"/>
        <v>25204.624574677178</v>
      </c>
      <c r="DP41" s="355">
        <f t="shared" si="90"/>
        <v>14177.601323255911</v>
      </c>
      <c r="DQ41" s="355">
        <f t="shared" si="91"/>
        <v>14492.659130439375</v>
      </c>
      <c r="DR41" s="355">
        <f t="shared" si="92"/>
        <v>11027.023251421264</v>
      </c>
      <c r="DS41" s="355">
        <f t="shared" si="93"/>
        <v>9451.7342155039405</v>
      </c>
      <c r="DT41" s="355">
        <f t="shared" si="94"/>
        <v>9451.7342155039405</v>
      </c>
      <c r="DU41" s="355">
        <f t="shared" si="95"/>
        <v>9451.7342155039405</v>
      </c>
      <c r="DV41" s="355">
        <f t="shared" si="96"/>
        <v>8191.5029867700823</v>
      </c>
      <c r="DW41" s="355">
        <f t="shared" si="97"/>
        <v>2520.4624574677173</v>
      </c>
      <c r="DX41" s="355">
        <f t="shared" si="98"/>
        <v>110270.23251421262</v>
      </c>
      <c r="DY41" s="351">
        <f t="shared" si="99"/>
        <v>75613.873724031539</v>
      </c>
      <c r="DZ41" s="351">
        <f t="shared" si="100"/>
        <v>302455.49489612615</v>
      </c>
      <c r="EA41" s="351">
        <f t="shared" si="101"/>
        <v>170131.21587907092</v>
      </c>
      <c r="EB41" s="351">
        <f t="shared" si="102"/>
        <v>173911.90956527251</v>
      </c>
      <c r="EC41" s="351">
        <f t="shared" si="103"/>
        <v>132324.27901705517</v>
      </c>
      <c r="ED41" s="351">
        <f t="shared" si="104"/>
        <v>113420.81058604729</v>
      </c>
      <c r="EE41" s="351">
        <f t="shared" si="105"/>
        <v>113420.81058604729</v>
      </c>
      <c r="EF41" s="351">
        <f t="shared" si="106"/>
        <v>113420.81058604729</v>
      </c>
      <c r="EG41" s="351">
        <f t="shared" si="107"/>
        <v>98298.035841240984</v>
      </c>
      <c r="EH41" s="351">
        <f t="shared" si="108"/>
        <v>30245.549489612607</v>
      </c>
      <c r="EI41" s="352">
        <f t="shared" si="109"/>
        <v>1323242.790170552</v>
      </c>
      <c r="EJ41" s="355">
        <f t="shared" si="110"/>
        <v>6301.1561436692946</v>
      </c>
      <c r="EK41" s="355">
        <f t="shared" si="111"/>
        <v>25204.624574677178</v>
      </c>
      <c r="EL41" s="355">
        <f t="shared" si="112"/>
        <v>14177.601323255911</v>
      </c>
      <c r="EM41" s="355">
        <f t="shared" si="113"/>
        <v>14492.659130439375</v>
      </c>
      <c r="EN41" s="355">
        <f t="shared" si="114"/>
        <v>11027.023251421264</v>
      </c>
      <c r="EO41" s="355">
        <f t="shared" si="115"/>
        <v>9451.7342155039405</v>
      </c>
      <c r="EP41" s="355">
        <f t="shared" si="116"/>
        <v>9451.7342155039405</v>
      </c>
      <c r="EQ41" s="355">
        <f t="shared" si="117"/>
        <v>9451.7342155039405</v>
      </c>
      <c r="ER41" s="355">
        <f t="shared" si="118"/>
        <v>8191.5029867700823</v>
      </c>
      <c r="ES41" s="355">
        <f t="shared" si="119"/>
        <v>2520.4624574677173</v>
      </c>
      <c r="ET41" s="353">
        <f t="shared" si="120"/>
        <v>110270.23251421262</v>
      </c>
      <c r="EU41" s="358"/>
      <c r="EV41" s="358"/>
      <c r="EW41" s="358"/>
      <c r="EX41" s="358"/>
      <c r="EY41" s="358"/>
      <c r="EZ41" s="358"/>
      <c r="FA41" s="351"/>
    </row>
    <row r="42" spans="1:164" ht="35" customHeight="1" x14ac:dyDescent="0.3">
      <c r="A42" s="330" t="s">
        <v>1753</v>
      </c>
      <c r="B42" s="318" t="s">
        <v>808</v>
      </c>
      <c r="C42" s="318" t="s">
        <v>72</v>
      </c>
      <c r="D42" s="318" t="s">
        <v>74</v>
      </c>
      <c r="E42" s="318" t="s">
        <v>8</v>
      </c>
      <c r="F42" s="318" t="s">
        <v>946</v>
      </c>
      <c r="G42" s="318" t="s">
        <v>724</v>
      </c>
      <c r="H42" s="318" t="s">
        <v>926</v>
      </c>
      <c r="I42" s="318" t="s">
        <v>927</v>
      </c>
      <c r="J42" s="318" t="s">
        <v>1045</v>
      </c>
      <c r="K42" s="318" t="s">
        <v>1048</v>
      </c>
      <c r="L42" s="318" t="s">
        <v>1055</v>
      </c>
      <c r="M42" s="318" t="s">
        <v>1059</v>
      </c>
      <c r="N42" s="318" t="s">
        <v>1069</v>
      </c>
      <c r="O42" s="318" t="s">
        <v>1072</v>
      </c>
      <c r="P42" s="318" t="s">
        <v>1079</v>
      </c>
      <c r="Q42" s="318" t="s">
        <v>1080</v>
      </c>
      <c r="R42" s="318" t="s">
        <v>1087</v>
      </c>
      <c r="S42" s="318" t="s">
        <v>1089</v>
      </c>
      <c r="T42" s="318" t="s">
        <v>104</v>
      </c>
      <c r="U42" s="318" t="s">
        <v>104</v>
      </c>
      <c r="V42" s="318" t="s">
        <v>104</v>
      </c>
      <c r="W42" s="318" t="s">
        <v>104</v>
      </c>
      <c r="X42" s="318" t="s">
        <v>104</v>
      </c>
      <c r="Y42" s="318" t="s">
        <v>104</v>
      </c>
      <c r="Z42" s="318" t="s">
        <v>104</v>
      </c>
      <c r="AA42" s="318" t="s">
        <v>104</v>
      </c>
      <c r="AB42" s="318" t="s">
        <v>104</v>
      </c>
      <c r="AC42" s="318" t="s">
        <v>104</v>
      </c>
      <c r="AD42" s="318" t="s">
        <v>1771</v>
      </c>
      <c r="AE42" s="318">
        <v>819</v>
      </c>
      <c r="AF42" s="318">
        <v>60</v>
      </c>
      <c r="AG42" s="318">
        <v>2010</v>
      </c>
      <c r="AH42" s="318" t="s">
        <v>800</v>
      </c>
      <c r="AI42" s="318">
        <v>2010</v>
      </c>
      <c r="AJ42" s="318" t="s">
        <v>800</v>
      </c>
      <c r="AK42" s="318"/>
      <c r="AL42" s="318"/>
      <c r="AM42" s="317">
        <f t="shared" si="121"/>
        <v>1576929.2191597905</v>
      </c>
      <c r="AN42" s="318" t="s">
        <v>800</v>
      </c>
      <c r="AO42" s="511">
        <f t="shared" si="122"/>
        <v>490600.20151637937</v>
      </c>
      <c r="AP42" s="511">
        <f t="shared" si="123"/>
        <v>1086329.0176434112</v>
      </c>
      <c r="AQ42" s="511">
        <f t="shared" si="124"/>
        <v>40883.350126364945</v>
      </c>
      <c r="AR42" s="511">
        <f t="shared" si="125"/>
        <v>1045445.6675170462</v>
      </c>
      <c r="AS42" s="511">
        <f>HLOOKUP($C$1,'Inflation Adjustments'!$BI$3:$BT$4,2)*CQ42</f>
        <v>2750805.3726562499</v>
      </c>
      <c r="AT42" s="511">
        <f>IF(BU42="In Service",'Maintenace Cost Assumptions'!$B$3*AS42,0)</f>
        <v>13754.026863281249</v>
      </c>
      <c r="AU42" s="318">
        <v>4</v>
      </c>
      <c r="AV42" s="318">
        <v>4</v>
      </c>
      <c r="AW42" s="318">
        <v>4</v>
      </c>
      <c r="AX42" s="318">
        <v>4</v>
      </c>
      <c r="AY42" s="318">
        <v>4</v>
      </c>
      <c r="AZ42" s="318">
        <v>4</v>
      </c>
      <c r="BA42" s="318">
        <v>4</v>
      </c>
      <c r="BB42" s="318"/>
      <c r="BC42" s="318"/>
      <c r="BD42" s="318"/>
      <c r="BE42" s="318">
        <v>4</v>
      </c>
      <c r="BF42" s="318"/>
      <c r="BG42" s="332">
        <f>(AU42*'Condition rating weights'!H$8+AV42*'Condition rating weights'!I$8+AW42*'Condition rating weights'!J$8+AX42*'Condition rating weights'!K$8+AY42*'Condition rating weights'!L$8+AZ42*'Condition rating weights'!M$8+BA42*'Condition rating weights'!N$8+BB42*'Condition rating weights'!O$8+BC42*'Condition rating weights'!P$8+BD42*'Condition rating weights'!Q$8+BE42*'Condition rating weights'!R$8+BF42*'Condition rating weights'!S$8)/100</f>
        <v>0.8</v>
      </c>
      <c r="BH42" s="333">
        <v>1</v>
      </c>
      <c r="BI42" s="333">
        <v>321</v>
      </c>
      <c r="BJ42" s="333" t="s">
        <v>12</v>
      </c>
      <c r="BK42" s="333" t="s">
        <v>959</v>
      </c>
      <c r="BL42" s="333" t="s">
        <v>960</v>
      </c>
      <c r="BM42" s="333" t="s">
        <v>961</v>
      </c>
      <c r="BN42" s="333" t="s">
        <v>117</v>
      </c>
      <c r="BO42" s="333" t="s">
        <v>962</v>
      </c>
      <c r="BP42" s="333" t="s">
        <v>962</v>
      </c>
      <c r="BQ42" s="333" t="s">
        <v>963</v>
      </c>
      <c r="BR42" s="333" t="s">
        <v>964</v>
      </c>
      <c r="BS42" s="333" t="s">
        <v>964</v>
      </c>
      <c r="BT42" s="334" t="s">
        <v>965</v>
      </c>
      <c r="BU42" s="335" t="s">
        <v>1429</v>
      </c>
      <c r="BV42" s="282"/>
      <c r="BW42" s="282"/>
      <c r="BX42" s="282"/>
      <c r="BY42" s="282"/>
      <c r="BZ42" s="282"/>
      <c r="CA42" s="282"/>
      <c r="CB42" s="282"/>
      <c r="CC42" s="282"/>
      <c r="CD42" s="282"/>
      <c r="CE42" s="282"/>
      <c r="CF42" s="282"/>
      <c r="CG42" s="351">
        <f t="shared" si="5"/>
        <v>163800</v>
      </c>
      <c r="CH42" s="351">
        <f t="shared" si="6"/>
        <v>655200</v>
      </c>
      <c r="CI42" s="351">
        <f t="shared" si="7"/>
        <v>122850</v>
      </c>
      <c r="CJ42" s="351">
        <f t="shared" si="8"/>
        <v>188370</v>
      </c>
      <c r="CK42" s="351">
        <f t="shared" si="9"/>
        <v>286650</v>
      </c>
      <c r="CL42" s="351">
        <f t="shared" si="10"/>
        <v>122850</v>
      </c>
      <c r="CM42" s="351">
        <f t="shared" si="11"/>
        <v>81900</v>
      </c>
      <c r="CN42" s="351">
        <f t="shared" si="12"/>
        <v>81900</v>
      </c>
      <c r="CO42" s="351">
        <f t="shared" si="13"/>
        <v>106470</v>
      </c>
      <c r="CP42" s="351">
        <f t="shared" si="14"/>
        <v>32760</v>
      </c>
      <c r="CQ42" s="352">
        <f t="shared" si="87"/>
        <v>1842750</v>
      </c>
      <c r="CR42" s="353">
        <f>(HLOOKUP($AI42,'Inflation Adjustments'!$B$3:$BT$4,2,TRUE))*CG42</f>
        <v>140171.48614753695</v>
      </c>
      <c r="CS42" s="353">
        <f>(HLOOKUP($AI42,'Inflation Adjustments'!$B$3:$BT$4,2,TRUE))*CH42</f>
        <v>560685.94459014782</v>
      </c>
      <c r="CT42" s="353">
        <f>(HLOOKUP($AI42,'Inflation Adjustments'!$B$3:$BT$4,2,TRUE))*CI42</f>
        <v>105128.6146106527</v>
      </c>
      <c r="CU42" s="353">
        <f>(HLOOKUP($AI42,'Inflation Adjustments'!$B$3:$BT$4,2,TRUE))*CJ42</f>
        <v>161197.20906966747</v>
      </c>
      <c r="CV42" s="353">
        <f>(HLOOKUP($AI42,'Inflation Adjustments'!$B$3:$BT$4,2,TRUE))*CK42</f>
        <v>245300.10075818966</v>
      </c>
      <c r="CW42" s="353">
        <f>(HLOOKUP($AI42,'Inflation Adjustments'!$B$3:$BT$4,2,TRUE))*CL42</f>
        <v>105128.6146106527</v>
      </c>
      <c r="CX42" s="353">
        <f>(HLOOKUP($AI42,'Inflation Adjustments'!$B$3:$BT$4,2,TRUE))*CM42</f>
        <v>70085.743073768477</v>
      </c>
      <c r="CY42" s="353">
        <f>(HLOOKUP($AI42,'Inflation Adjustments'!$B$3:$BT$4,2,TRUE))*CN42</f>
        <v>70085.743073768477</v>
      </c>
      <c r="CZ42" s="353">
        <f>(HLOOKUP($AI42,'Inflation Adjustments'!$B$3:$BT$4,2,TRUE))*CO42</f>
        <v>91111.465995899009</v>
      </c>
      <c r="DA42" s="353">
        <f>(HLOOKUP($AI42,'Inflation Adjustments'!$B$3:$BT$4,2,TRUE))*CP42</f>
        <v>28034.297229507389</v>
      </c>
      <c r="DB42" s="353">
        <f t="shared" si="39"/>
        <v>1576929.2191597905</v>
      </c>
      <c r="DC42" s="354">
        <f t="shared" si="54"/>
        <v>12</v>
      </c>
      <c r="DD42" s="351">
        <f t="shared" si="16"/>
        <v>60</v>
      </c>
      <c r="DE42" s="351">
        <f t="shared" si="17"/>
        <v>60</v>
      </c>
      <c r="DF42" s="351">
        <f t="shared" si="18"/>
        <v>20</v>
      </c>
      <c r="DG42" s="351">
        <f t="shared" si="19"/>
        <v>30</v>
      </c>
      <c r="DH42" s="351">
        <f t="shared" si="20"/>
        <v>60</v>
      </c>
      <c r="DI42" s="351">
        <f t="shared" si="21"/>
        <v>30</v>
      </c>
      <c r="DJ42" s="351">
        <f t="shared" si="22"/>
        <v>20</v>
      </c>
      <c r="DK42" s="351">
        <f t="shared" si="23"/>
        <v>20</v>
      </c>
      <c r="DL42" s="351">
        <f t="shared" si="24"/>
        <v>30</v>
      </c>
      <c r="DM42" s="351">
        <f t="shared" si="25"/>
        <v>30</v>
      </c>
      <c r="DN42" s="355">
        <f t="shared" si="88"/>
        <v>2336.1914357922824</v>
      </c>
      <c r="DO42" s="355">
        <f t="shared" si="89"/>
        <v>9344.7657431691296</v>
      </c>
      <c r="DP42" s="355">
        <f t="shared" si="90"/>
        <v>5256.4307305326347</v>
      </c>
      <c r="DQ42" s="355">
        <f t="shared" si="91"/>
        <v>5373.2403023222487</v>
      </c>
      <c r="DR42" s="355">
        <f t="shared" si="92"/>
        <v>4088.3350126364944</v>
      </c>
      <c r="DS42" s="355">
        <f t="shared" si="93"/>
        <v>3504.2871536884236</v>
      </c>
      <c r="DT42" s="355">
        <f t="shared" si="94"/>
        <v>3504.287153688424</v>
      </c>
      <c r="DU42" s="355">
        <f t="shared" si="95"/>
        <v>3504.287153688424</v>
      </c>
      <c r="DV42" s="355">
        <f t="shared" si="96"/>
        <v>3037.0488665299667</v>
      </c>
      <c r="DW42" s="355">
        <f t="shared" si="97"/>
        <v>934.476574316913</v>
      </c>
      <c r="DX42" s="355">
        <f t="shared" si="98"/>
        <v>40883.350126364945</v>
      </c>
      <c r="DY42" s="351">
        <f t="shared" si="99"/>
        <v>28034.297229507389</v>
      </c>
      <c r="DZ42" s="351">
        <f t="shared" si="100"/>
        <v>112137.18891802955</v>
      </c>
      <c r="EA42" s="351">
        <f t="shared" si="101"/>
        <v>63077.168766391616</v>
      </c>
      <c r="EB42" s="351">
        <f t="shared" si="102"/>
        <v>64478.883627866984</v>
      </c>
      <c r="EC42" s="351">
        <f t="shared" si="103"/>
        <v>49060.020151637931</v>
      </c>
      <c r="ED42" s="351">
        <f t="shared" si="104"/>
        <v>42051.445844261085</v>
      </c>
      <c r="EE42" s="351">
        <f t="shared" si="105"/>
        <v>42051.445844261092</v>
      </c>
      <c r="EF42" s="351">
        <f t="shared" si="106"/>
        <v>42051.445844261092</v>
      </c>
      <c r="EG42" s="351">
        <f t="shared" si="107"/>
        <v>36444.586398359599</v>
      </c>
      <c r="EH42" s="351">
        <f t="shared" si="108"/>
        <v>11213.718891802957</v>
      </c>
      <c r="EI42" s="352">
        <f t="shared" si="109"/>
        <v>490600.20151637937</v>
      </c>
      <c r="EJ42" s="355">
        <f t="shared" si="110"/>
        <v>2336.1914357922824</v>
      </c>
      <c r="EK42" s="355">
        <f t="shared" si="111"/>
        <v>9344.7657431691296</v>
      </c>
      <c r="EL42" s="355">
        <f t="shared" si="112"/>
        <v>5256.4307305326347</v>
      </c>
      <c r="EM42" s="355">
        <f t="shared" si="113"/>
        <v>5373.2403023222487</v>
      </c>
      <c r="EN42" s="355">
        <f t="shared" si="114"/>
        <v>4088.3350126364944</v>
      </c>
      <c r="EO42" s="355">
        <f t="shared" si="115"/>
        <v>3504.2871536884236</v>
      </c>
      <c r="EP42" s="355">
        <f t="shared" si="116"/>
        <v>3504.287153688424</v>
      </c>
      <c r="EQ42" s="355">
        <f t="shared" si="117"/>
        <v>3504.287153688424</v>
      </c>
      <c r="ER42" s="355">
        <f t="shared" si="118"/>
        <v>3037.0488665299667</v>
      </c>
      <c r="ES42" s="355">
        <f t="shared" si="119"/>
        <v>934.476574316913</v>
      </c>
      <c r="ET42" s="353">
        <f t="shared" si="120"/>
        <v>40883.350126364945</v>
      </c>
      <c r="EU42" s="358"/>
      <c r="EV42" s="358"/>
      <c r="EW42" s="358"/>
      <c r="EX42" s="358"/>
      <c r="EY42" s="358"/>
      <c r="EZ42" s="358"/>
      <c r="FA42" s="351"/>
    </row>
    <row r="43" spans="1:164" ht="35" customHeight="1" x14ac:dyDescent="0.3">
      <c r="A43" s="330" t="s">
        <v>1754</v>
      </c>
      <c r="B43" s="318" t="s">
        <v>808</v>
      </c>
      <c r="C43" s="318" t="s">
        <v>72</v>
      </c>
      <c r="D43" s="318" t="s">
        <v>74</v>
      </c>
      <c r="E43" s="318" t="s">
        <v>8</v>
      </c>
      <c r="F43" s="318" t="s">
        <v>278</v>
      </c>
      <c r="G43" s="318" t="s">
        <v>724</v>
      </c>
      <c r="H43" s="318" t="s">
        <v>928</v>
      </c>
      <c r="I43" s="318" t="s">
        <v>929</v>
      </c>
      <c r="J43" s="318" t="s">
        <v>1045</v>
      </c>
      <c r="K43" s="318" t="s">
        <v>1050</v>
      </c>
      <c r="L43" s="318" t="s">
        <v>1055</v>
      </c>
      <c r="M43" s="318" t="s">
        <v>1059</v>
      </c>
      <c r="N43" s="318" t="s">
        <v>1069</v>
      </c>
      <c r="O43" s="318" t="s">
        <v>1073</v>
      </c>
      <c r="P43" s="318" t="s">
        <v>1079</v>
      </c>
      <c r="Q43" s="318" t="s">
        <v>1080</v>
      </c>
      <c r="R43" s="318" t="s">
        <v>1086</v>
      </c>
      <c r="S43" s="318" t="s">
        <v>1089</v>
      </c>
      <c r="T43" s="318" t="s">
        <v>104</v>
      </c>
      <c r="U43" s="318" t="s">
        <v>104</v>
      </c>
      <c r="V43" s="318" t="s">
        <v>104</v>
      </c>
      <c r="W43" s="318" t="s">
        <v>104</v>
      </c>
      <c r="X43" s="318" t="s">
        <v>104</v>
      </c>
      <c r="Y43" s="318" t="s">
        <v>104</v>
      </c>
      <c r="Z43" s="318" t="s">
        <v>104</v>
      </c>
      <c r="AA43" s="318" t="s">
        <v>104</v>
      </c>
      <c r="AB43" s="318" t="s">
        <v>104</v>
      </c>
      <c r="AC43" s="318" t="s">
        <v>104</v>
      </c>
      <c r="AD43" s="318" t="s">
        <v>1771</v>
      </c>
      <c r="AE43" s="318">
        <v>600</v>
      </c>
      <c r="AF43" s="318">
        <v>40</v>
      </c>
      <c r="AG43" s="318">
        <v>2010</v>
      </c>
      <c r="AH43" s="318" t="s">
        <v>800</v>
      </c>
      <c r="AI43" s="318">
        <v>2010</v>
      </c>
      <c r="AJ43" s="318" t="s">
        <v>800</v>
      </c>
      <c r="AK43" s="318"/>
      <c r="AL43" s="318"/>
      <c r="AM43" s="317">
        <f t="shared" si="121"/>
        <v>1155259.5012159636</v>
      </c>
      <c r="AN43" s="318" t="s">
        <v>800</v>
      </c>
      <c r="AO43" s="511">
        <f t="shared" si="122"/>
        <v>359414.06704496662</v>
      </c>
      <c r="AP43" s="511">
        <f t="shared" si="123"/>
        <v>795845.434170997</v>
      </c>
      <c r="AQ43" s="511">
        <f t="shared" si="124"/>
        <v>29951.172253747216</v>
      </c>
      <c r="AR43" s="511">
        <f t="shared" si="125"/>
        <v>765894.26191724977</v>
      </c>
      <c r="AS43" s="511">
        <f>HLOOKUP($C$1,'Inflation Adjustments'!$BI$3:$BT$4,2)*CQ43</f>
        <v>2015242.0312499998</v>
      </c>
      <c r="AT43" s="511">
        <f>IF(BU43="In Service",'Maintenace Cost Assumptions'!$B$3*AS43,0)</f>
        <v>10076.210156249999</v>
      </c>
      <c r="AU43" s="318">
        <v>4</v>
      </c>
      <c r="AV43" s="318">
        <v>4</v>
      </c>
      <c r="AW43" s="318">
        <v>4</v>
      </c>
      <c r="AX43" s="318">
        <v>4</v>
      </c>
      <c r="AY43" s="318">
        <v>4</v>
      </c>
      <c r="AZ43" s="318">
        <v>4</v>
      </c>
      <c r="BA43" s="318">
        <v>4</v>
      </c>
      <c r="BB43" s="318"/>
      <c r="BC43" s="318"/>
      <c r="BD43" s="318"/>
      <c r="BE43" s="318">
        <v>4</v>
      </c>
      <c r="BF43" s="318"/>
      <c r="BG43" s="332">
        <f>(AU43*'Condition rating weights'!H$8+AV43*'Condition rating weights'!I$8+AW43*'Condition rating weights'!J$8+AX43*'Condition rating weights'!K$8+AY43*'Condition rating weights'!L$8+AZ43*'Condition rating weights'!M$8+BA43*'Condition rating weights'!N$8+BB43*'Condition rating weights'!O$8+BC43*'Condition rating weights'!P$8+BD43*'Condition rating weights'!Q$8+BE43*'Condition rating weights'!R$8+BF43*'Condition rating weights'!S$8)/100</f>
        <v>0.8</v>
      </c>
      <c r="BH43" s="333">
        <v>1</v>
      </c>
      <c r="BI43" s="333">
        <v>411</v>
      </c>
      <c r="BJ43" s="333" t="s">
        <v>12</v>
      </c>
      <c r="BK43" s="333" t="s">
        <v>959</v>
      </c>
      <c r="BL43" s="333" t="s">
        <v>960</v>
      </c>
      <c r="BM43" s="333" t="s">
        <v>961</v>
      </c>
      <c r="BN43" s="333" t="s">
        <v>117</v>
      </c>
      <c r="BO43" s="333" t="s">
        <v>962</v>
      </c>
      <c r="BP43" s="333" t="s">
        <v>962</v>
      </c>
      <c r="BQ43" s="333" t="s">
        <v>963</v>
      </c>
      <c r="BR43" s="333" t="s">
        <v>964</v>
      </c>
      <c r="BS43" s="333" t="s">
        <v>964</v>
      </c>
      <c r="BT43" s="334" t="s">
        <v>965</v>
      </c>
      <c r="BU43" s="335" t="s">
        <v>1429</v>
      </c>
      <c r="BV43" s="282"/>
      <c r="BW43" s="282"/>
      <c r="BX43" s="282"/>
      <c r="BY43" s="282"/>
      <c r="BZ43" s="282"/>
      <c r="CA43" s="282"/>
      <c r="CB43" s="282"/>
      <c r="CC43" s="282"/>
      <c r="CD43" s="282"/>
      <c r="CE43" s="282"/>
      <c r="CF43" s="282"/>
      <c r="CG43" s="351">
        <f t="shared" si="5"/>
        <v>120000</v>
      </c>
      <c r="CH43" s="351">
        <f t="shared" si="6"/>
        <v>480000</v>
      </c>
      <c r="CI43" s="351">
        <f t="shared" si="7"/>
        <v>90000</v>
      </c>
      <c r="CJ43" s="351">
        <f t="shared" si="8"/>
        <v>138000</v>
      </c>
      <c r="CK43" s="351">
        <f t="shared" si="9"/>
        <v>210000</v>
      </c>
      <c r="CL43" s="351">
        <f t="shared" si="10"/>
        <v>90000</v>
      </c>
      <c r="CM43" s="351">
        <f t="shared" si="11"/>
        <v>60000</v>
      </c>
      <c r="CN43" s="351">
        <f t="shared" si="12"/>
        <v>60000</v>
      </c>
      <c r="CO43" s="351">
        <f t="shared" si="13"/>
        <v>78000</v>
      </c>
      <c r="CP43" s="351">
        <f t="shared" si="14"/>
        <v>24000</v>
      </c>
      <c r="CQ43" s="352">
        <f t="shared" si="87"/>
        <v>1350000</v>
      </c>
      <c r="CR43" s="353">
        <f>(HLOOKUP($AI43,'Inflation Adjustments'!$B$3:$BT$4,2,TRUE))*CG43</f>
        <v>102689.73344141901</v>
      </c>
      <c r="CS43" s="353">
        <f>(HLOOKUP($AI43,'Inflation Adjustments'!$B$3:$BT$4,2,TRUE))*CH43</f>
        <v>410758.93376567605</v>
      </c>
      <c r="CT43" s="353">
        <f>(HLOOKUP($AI43,'Inflation Adjustments'!$B$3:$BT$4,2,TRUE))*CI43</f>
        <v>77017.300081064255</v>
      </c>
      <c r="CU43" s="353">
        <f>(HLOOKUP($AI43,'Inflation Adjustments'!$B$3:$BT$4,2,TRUE))*CJ43</f>
        <v>118093.19345763186</v>
      </c>
      <c r="CV43" s="353">
        <f>(HLOOKUP($AI43,'Inflation Adjustments'!$B$3:$BT$4,2,TRUE))*CK43</f>
        <v>179707.03352248325</v>
      </c>
      <c r="CW43" s="353">
        <f>(HLOOKUP($AI43,'Inflation Adjustments'!$B$3:$BT$4,2,TRUE))*CL43</f>
        <v>77017.300081064255</v>
      </c>
      <c r="CX43" s="353">
        <f>(HLOOKUP($AI43,'Inflation Adjustments'!$B$3:$BT$4,2,TRUE))*CM43</f>
        <v>51344.866720709506</v>
      </c>
      <c r="CY43" s="353">
        <f>(HLOOKUP($AI43,'Inflation Adjustments'!$B$3:$BT$4,2,TRUE))*CN43</f>
        <v>51344.866720709506</v>
      </c>
      <c r="CZ43" s="353">
        <f>(HLOOKUP($AI43,'Inflation Adjustments'!$B$3:$BT$4,2,TRUE))*CO43</f>
        <v>66748.326736922361</v>
      </c>
      <c r="DA43" s="353">
        <f>(HLOOKUP($AI43,'Inflation Adjustments'!$B$3:$BT$4,2,TRUE))*CP43</f>
        <v>20537.946688283802</v>
      </c>
      <c r="DB43" s="353">
        <f t="shared" si="39"/>
        <v>1155259.5012159636</v>
      </c>
      <c r="DC43" s="354">
        <f t="shared" si="54"/>
        <v>12</v>
      </c>
      <c r="DD43" s="351">
        <f t="shared" si="16"/>
        <v>60</v>
      </c>
      <c r="DE43" s="351">
        <f t="shared" si="17"/>
        <v>60</v>
      </c>
      <c r="DF43" s="351">
        <f t="shared" si="18"/>
        <v>20</v>
      </c>
      <c r="DG43" s="351">
        <f t="shared" si="19"/>
        <v>30</v>
      </c>
      <c r="DH43" s="351">
        <f t="shared" si="20"/>
        <v>60</v>
      </c>
      <c r="DI43" s="351">
        <f t="shared" si="21"/>
        <v>30</v>
      </c>
      <c r="DJ43" s="351">
        <f t="shared" si="22"/>
        <v>20</v>
      </c>
      <c r="DK43" s="351">
        <f t="shared" si="23"/>
        <v>20</v>
      </c>
      <c r="DL43" s="351">
        <f t="shared" si="24"/>
        <v>30</v>
      </c>
      <c r="DM43" s="351">
        <f t="shared" si="25"/>
        <v>30</v>
      </c>
      <c r="DN43" s="355">
        <f t="shared" si="88"/>
        <v>1711.4955573569835</v>
      </c>
      <c r="DO43" s="355">
        <f t="shared" si="89"/>
        <v>6845.9822294279338</v>
      </c>
      <c r="DP43" s="355">
        <f t="shared" si="90"/>
        <v>3850.8650040532129</v>
      </c>
      <c r="DQ43" s="355">
        <f t="shared" si="91"/>
        <v>3936.4397819210621</v>
      </c>
      <c r="DR43" s="355">
        <f t="shared" si="92"/>
        <v>2995.1172253747209</v>
      </c>
      <c r="DS43" s="355">
        <f t="shared" si="93"/>
        <v>2567.2433360354753</v>
      </c>
      <c r="DT43" s="355">
        <f t="shared" si="94"/>
        <v>2567.2433360354753</v>
      </c>
      <c r="DU43" s="355">
        <f t="shared" si="95"/>
        <v>2567.2433360354753</v>
      </c>
      <c r="DV43" s="355">
        <f t="shared" si="96"/>
        <v>2224.9442245640789</v>
      </c>
      <c r="DW43" s="355">
        <f t="shared" si="97"/>
        <v>684.59822294279343</v>
      </c>
      <c r="DX43" s="355">
        <f t="shared" si="98"/>
        <v>29951.172253747216</v>
      </c>
      <c r="DY43" s="351">
        <f t="shared" si="99"/>
        <v>20537.946688283802</v>
      </c>
      <c r="DZ43" s="351">
        <f t="shared" si="100"/>
        <v>82151.786753135209</v>
      </c>
      <c r="EA43" s="351">
        <f t="shared" si="101"/>
        <v>46210.380048638559</v>
      </c>
      <c r="EB43" s="351">
        <f t="shared" si="102"/>
        <v>47237.277383052744</v>
      </c>
      <c r="EC43" s="351">
        <f t="shared" si="103"/>
        <v>35941.40670449665</v>
      </c>
      <c r="ED43" s="351">
        <f t="shared" si="104"/>
        <v>30806.920032425704</v>
      </c>
      <c r="EE43" s="351">
        <f t="shared" si="105"/>
        <v>30806.920032425704</v>
      </c>
      <c r="EF43" s="351">
        <f t="shared" si="106"/>
        <v>30806.920032425704</v>
      </c>
      <c r="EG43" s="351">
        <f t="shared" si="107"/>
        <v>26699.330694768949</v>
      </c>
      <c r="EH43" s="351">
        <f t="shared" si="108"/>
        <v>8215.1786753135202</v>
      </c>
      <c r="EI43" s="352">
        <f t="shared" si="109"/>
        <v>359414.06704496662</v>
      </c>
      <c r="EJ43" s="355">
        <f t="shared" si="110"/>
        <v>1711.4955573569835</v>
      </c>
      <c r="EK43" s="355">
        <f t="shared" si="111"/>
        <v>6845.9822294279338</v>
      </c>
      <c r="EL43" s="355">
        <f t="shared" si="112"/>
        <v>3850.8650040532129</v>
      </c>
      <c r="EM43" s="355">
        <f t="shared" si="113"/>
        <v>3936.4397819210621</v>
      </c>
      <c r="EN43" s="355">
        <f t="shared" si="114"/>
        <v>2995.1172253747209</v>
      </c>
      <c r="EO43" s="355">
        <f t="shared" si="115"/>
        <v>2567.2433360354753</v>
      </c>
      <c r="EP43" s="355">
        <f t="shared" si="116"/>
        <v>2567.2433360354753</v>
      </c>
      <c r="EQ43" s="355">
        <f t="shared" si="117"/>
        <v>2567.2433360354753</v>
      </c>
      <c r="ER43" s="355">
        <f t="shared" si="118"/>
        <v>2224.9442245640789</v>
      </c>
      <c r="ES43" s="355">
        <f t="shared" si="119"/>
        <v>684.59822294279343</v>
      </c>
      <c r="ET43" s="353">
        <f t="shared" si="120"/>
        <v>29951.172253747216</v>
      </c>
      <c r="EU43" s="358"/>
      <c r="EV43" s="358"/>
      <c r="EW43" s="358"/>
      <c r="EX43" s="358"/>
      <c r="EY43" s="358"/>
      <c r="EZ43" s="358"/>
      <c r="FA43" s="351"/>
    </row>
    <row r="44" spans="1:164" ht="35" customHeight="1" x14ac:dyDescent="0.3">
      <c r="A44" s="330" t="s">
        <v>1755</v>
      </c>
      <c r="B44" s="318" t="s">
        <v>808</v>
      </c>
      <c r="C44" s="318" t="s">
        <v>72</v>
      </c>
      <c r="D44" s="318" t="s">
        <v>74</v>
      </c>
      <c r="E44" s="318" t="s">
        <v>8</v>
      </c>
      <c r="F44" s="318" t="s">
        <v>276</v>
      </c>
      <c r="G44" s="318" t="s">
        <v>724</v>
      </c>
      <c r="H44" s="318" t="s">
        <v>930</v>
      </c>
      <c r="I44" s="318" t="s">
        <v>931</v>
      </c>
      <c r="J44" s="318" t="s">
        <v>1045</v>
      </c>
      <c r="K44" s="318" t="s">
        <v>1048</v>
      </c>
      <c r="L44" s="318" t="s">
        <v>1055</v>
      </c>
      <c r="M44" s="318" t="s">
        <v>1059</v>
      </c>
      <c r="N44" s="318" t="s">
        <v>1069</v>
      </c>
      <c r="O44" s="318" t="s">
        <v>1072</v>
      </c>
      <c r="P44" s="318" t="s">
        <v>1079</v>
      </c>
      <c r="Q44" s="318" t="s">
        <v>1080</v>
      </c>
      <c r="R44" s="318" t="s">
        <v>1086</v>
      </c>
      <c r="S44" s="318" t="s">
        <v>1089</v>
      </c>
      <c r="T44" s="318" t="s">
        <v>104</v>
      </c>
      <c r="U44" s="318" t="s">
        <v>104</v>
      </c>
      <c r="V44" s="318" t="s">
        <v>104</v>
      </c>
      <c r="W44" s="318" t="s">
        <v>104</v>
      </c>
      <c r="X44" s="318" t="s">
        <v>104</v>
      </c>
      <c r="Y44" s="318" t="s">
        <v>104</v>
      </c>
      <c r="Z44" s="318" t="s">
        <v>104</v>
      </c>
      <c r="AA44" s="318" t="s">
        <v>104</v>
      </c>
      <c r="AB44" s="318" t="s">
        <v>104</v>
      </c>
      <c r="AC44" s="318" t="s">
        <v>104</v>
      </c>
      <c r="AD44" s="318" t="s">
        <v>1771</v>
      </c>
      <c r="AE44" s="318">
        <v>645</v>
      </c>
      <c r="AF44" s="318">
        <v>40</v>
      </c>
      <c r="AG44" s="318">
        <v>2010</v>
      </c>
      <c r="AH44" s="318" t="s">
        <v>800</v>
      </c>
      <c r="AI44" s="318">
        <v>2010</v>
      </c>
      <c r="AJ44" s="318" t="s">
        <v>800</v>
      </c>
      <c r="AK44" s="318"/>
      <c r="AL44" s="318"/>
      <c r="AM44" s="317">
        <f t="shared" si="121"/>
        <v>1241903.9638071614</v>
      </c>
      <c r="AN44" s="318" t="s">
        <v>800</v>
      </c>
      <c r="AO44" s="511">
        <f t="shared" si="122"/>
        <v>386370.12207333901</v>
      </c>
      <c r="AP44" s="511">
        <f t="shared" si="123"/>
        <v>855533.84173382237</v>
      </c>
      <c r="AQ44" s="511">
        <f t="shared" si="124"/>
        <v>32197.510172778253</v>
      </c>
      <c r="AR44" s="511">
        <f t="shared" si="125"/>
        <v>823336.33156104409</v>
      </c>
      <c r="AS44" s="511">
        <f>HLOOKUP($C$1,'Inflation Adjustments'!$BI$3:$BT$4,2)*CQ44</f>
        <v>2166385.18359375</v>
      </c>
      <c r="AT44" s="511">
        <f>IF(BU44="In Service",'Maintenace Cost Assumptions'!$B$3*AS44,0)</f>
        <v>10831.925917968751</v>
      </c>
      <c r="AU44" s="318">
        <v>4</v>
      </c>
      <c r="AV44" s="318">
        <v>4</v>
      </c>
      <c r="AW44" s="318">
        <v>4</v>
      </c>
      <c r="AX44" s="318">
        <v>4</v>
      </c>
      <c r="AY44" s="318">
        <v>4</v>
      </c>
      <c r="AZ44" s="318">
        <v>4</v>
      </c>
      <c r="BA44" s="318">
        <v>4</v>
      </c>
      <c r="BB44" s="318"/>
      <c r="BC44" s="318"/>
      <c r="BD44" s="318"/>
      <c r="BE44" s="318">
        <v>4</v>
      </c>
      <c r="BF44" s="318"/>
      <c r="BG44" s="332">
        <f>(AU44*'Condition rating weights'!H$8+AV44*'Condition rating weights'!I$8+AW44*'Condition rating weights'!J$8+AX44*'Condition rating weights'!K$8+AY44*'Condition rating weights'!L$8+AZ44*'Condition rating weights'!M$8+BA44*'Condition rating weights'!N$8+BB44*'Condition rating weights'!O$8+BC44*'Condition rating weights'!P$8+BD44*'Condition rating weights'!Q$8+BE44*'Condition rating weights'!R$8+BF44*'Condition rating weights'!S$8)/100</f>
        <v>0.8</v>
      </c>
      <c r="BH44" s="333">
        <v>1</v>
      </c>
      <c r="BI44" s="333">
        <v>311</v>
      </c>
      <c r="BJ44" s="333" t="s">
        <v>12</v>
      </c>
      <c r="BK44" s="333" t="s">
        <v>959</v>
      </c>
      <c r="BL44" s="333" t="s">
        <v>960</v>
      </c>
      <c r="BM44" s="333" t="s">
        <v>961</v>
      </c>
      <c r="BN44" s="333" t="s">
        <v>117</v>
      </c>
      <c r="BO44" s="333" t="s">
        <v>962</v>
      </c>
      <c r="BP44" s="333" t="s">
        <v>962</v>
      </c>
      <c r="BQ44" s="333" t="s">
        <v>963</v>
      </c>
      <c r="BR44" s="333" t="s">
        <v>964</v>
      </c>
      <c r="BS44" s="333" t="s">
        <v>964</v>
      </c>
      <c r="BT44" s="334" t="s">
        <v>965</v>
      </c>
      <c r="BU44" s="335" t="s">
        <v>1429</v>
      </c>
      <c r="BV44" s="282"/>
      <c r="BW44" s="282"/>
      <c r="BX44" s="282"/>
      <c r="BY44" s="282"/>
      <c r="BZ44" s="282"/>
      <c r="CA44" s="282"/>
      <c r="CB44" s="282"/>
      <c r="CC44" s="282"/>
      <c r="CD44" s="282"/>
      <c r="CE44" s="282"/>
      <c r="CF44" s="282"/>
      <c r="CG44" s="351">
        <f t="shared" si="5"/>
        <v>129000</v>
      </c>
      <c r="CH44" s="351">
        <f t="shared" si="6"/>
        <v>516000</v>
      </c>
      <c r="CI44" s="351">
        <f t="shared" si="7"/>
        <v>96750</v>
      </c>
      <c r="CJ44" s="351">
        <f t="shared" si="8"/>
        <v>148350</v>
      </c>
      <c r="CK44" s="351">
        <f t="shared" si="9"/>
        <v>225750</v>
      </c>
      <c r="CL44" s="351">
        <f t="shared" si="10"/>
        <v>96750</v>
      </c>
      <c r="CM44" s="351">
        <f t="shared" si="11"/>
        <v>64500</v>
      </c>
      <c r="CN44" s="351">
        <f t="shared" si="12"/>
        <v>64500</v>
      </c>
      <c r="CO44" s="351">
        <f t="shared" si="13"/>
        <v>83850</v>
      </c>
      <c r="CP44" s="351">
        <f t="shared" si="14"/>
        <v>25800</v>
      </c>
      <c r="CQ44" s="352">
        <f t="shared" si="87"/>
        <v>1451250</v>
      </c>
      <c r="CR44" s="353">
        <f>(HLOOKUP($AI44,'Inflation Adjustments'!$B$3:$BT$4,2,TRUE))*CG44</f>
        <v>110391.46344952543</v>
      </c>
      <c r="CS44" s="353">
        <f>(HLOOKUP($AI44,'Inflation Adjustments'!$B$3:$BT$4,2,TRUE))*CH44</f>
        <v>441565.85379810171</v>
      </c>
      <c r="CT44" s="353">
        <f>(HLOOKUP($AI44,'Inflation Adjustments'!$B$3:$BT$4,2,TRUE))*CI44</f>
        <v>82793.597587144075</v>
      </c>
      <c r="CU44" s="353">
        <f>(HLOOKUP($AI44,'Inflation Adjustments'!$B$3:$BT$4,2,TRUE))*CJ44</f>
        <v>126950.18296695425</v>
      </c>
      <c r="CV44" s="353">
        <f>(HLOOKUP($AI44,'Inflation Adjustments'!$B$3:$BT$4,2,TRUE))*CK44</f>
        <v>193185.0610366695</v>
      </c>
      <c r="CW44" s="353">
        <f>(HLOOKUP($AI44,'Inflation Adjustments'!$B$3:$BT$4,2,TRUE))*CL44</f>
        <v>82793.597587144075</v>
      </c>
      <c r="CX44" s="353">
        <f>(HLOOKUP($AI44,'Inflation Adjustments'!$B$3:$BT$4,2,TRUE))*CM44</f>
        <v>55195.731724762714</v>
      </c>
      <c r="CY44" s="353">
        <f>(HLOOKUP($AI44,'Inflation Adjustments'!$B$3:$BT$4,2,TRUE))*CN44</f>
        <v>55195.731724762714</v>
      </c>
      <c r="CZ44" s="353">
        <f>(HLOOKUP($AI44,'Inflation Adjustments'!$B$3:$BT$4,2,TRUE))*CO44</f>
        <v>71754.451242191528</v>
      </c>
      <c r="DA44" s="353">
        <f>(HLOOKUP($AI44,'Inflation Adjustments'!$B$3:$BT$4,2,TRUE))*CP44</f>
        <v>22078.292689905087</v>
      </c>
      <c r="DB44" s="353">
        <f t="shared" si="39"/>
        <v>1241903.9638071614</v>
      </c>
      <c r="DC44" s="354">
        <f t="shared" si="54"/>
        <v>12</v>
      </c>
      <c r="DD44" s="351">
        <f t="shared" si="16"/>
        <v>60</v>
      </c>
      <c r="DE44" s="351">
        <f t="shared" si="17"/>
        <v>60</v>
      </c>
      <c r="DF44" s="351">
        <f t="shared" si="18"/>
        <v>20</v>
      </c>
      <c r="DG44" s="351">
        <f t="shared" si="19"/>
        <v>30</v>
      </c>
      <c r="DH44" s="351">
        <f t="shared" si="20"/>
        <v>60</v>
      </c>
      <c r="DI44" s="351">
        <f t="shared" si="21"/>
        <v>30</v>
      </c>
      <c r="DJ44" s="351">
        <f t="shared" si="22"/>
        <v>20</v>
      </c>
      <c r="DK44" s="351">
        <f t="shared" si="23"/>
        <v>20</v>
      </c>
      <c r="DL44" s="351">
        <f t="shared" si="24"/>
        <v>30</v>
      </c>
      <c r="DM44" s="351">
        <f t="shared" si="25"/>
        <v>30</v>
      </c>
      <c r="DN44" s="355">
        <f t="shared" si="88"/>
        <v>1839.857724158757</v>
      </c>
      <c r="DO44" s="355">
        <f t="shared" si="89"/>
        <v>7359.4308966350281</v>
      </c>
      <c r="DP44" s="355">
        <f t="shared" si="90"/>
        <v>4139.6798793572034</v>
      </c>
      <c r="DQ44" s="355">
        <f t="shared" si="91"/>
        <v>4231.6727655651421</v>
      </c>
      <c r="DR44" s="355">
        <f t="shared" si="92"/>
        <v>3219.7510172778252</v>
      </c>
      <c r="DS44" s="355">
        <f t="shared" si="93"/>
        <v>2759.7865862381359</v>
      </c>
      <c r="DT44" s="355">
        <f t="shared" si="94"/>
        <v>2759.7865862381359</v>
      </c>
      <c r="DU44" s="355">
        <f t="shared" si="95"/>
        <v>2759.7865862381359</v>
      </c>
      <c r="DV44" s="355">
        <f t="shared" si="96"/>
        <v>2391.8150414063844</v>
      </c>
      <c r="DW44" s="355">
        <f t="shared" si="97"/>
        <v>735.94308966350286</v>
      </c>
      <c r="DX44" s="355">
        <f t="shared" si="98"/>
        <v>32197.510172778253</v>
      </c>
      <c r="DY44" s="351">
        <f t="shared" si="99"/>
        <v>22078.292689905084</v>
      </c>
      <c r="DZ44" s="351">
        <f t="shared" si="100"/>
        <v>88313.170759620334</v>
      </c>
      <c r="EA44" s="351">
        <f t="shared" si="101"/>
        <v>49676.158552286441</v>
      </c>
      <c r="EB44" s="351">
        <f t="shared" si="102"/>
        <v>50780.073186781709</v>
      </c>
      <c r="EC44" s="351">
        <f t="shared" si="103"/>
        <v>38637.012207333901</v>
      </c>
      <c r="ED44" s="351">
        <f t="shared" si="104"/>
        <v>33117.439034857627</v>
      </c>
      <c r="EE44" s="351">
        <f t="shared" si="105"/>
        <v>33117.439034857627</v>
      </c>
      <c r="EF44" s="351">
        <f t="shared" si="106"/>
        <v>33117.439034857627</v>
      </c>
      <c r="EG44" s="351">
        <f t="shared" si="107"/>
        <v>28701.780496876614</v>
      </c>
      <c r="EH44" s="351">
        <f t="shared" si="108"/>
        <v>8831.3170759620334</v>
      </c>
      <c r="EI44" s="352">
        <f t="shared" si="109"/>
        <v>386370.12207333901</v>
      </c>
      <c r="EJ44" s="355">
        <f t="shared" si="110"/>
        <v>1839.857724158757</v>
      </c>
      <c r="EK44" s="355">
        <f t="shared" si="111"/>
        <v>7359.4308966350281</v>
      </c>
      <c r="EL44" s="355">
        <f t="shared" si="112"/>
        <v>4139.6798793572034</v>
      </c>
      <c r="EM44" s="355">
        <f t="shared" si="113"/>
        <v>4231.6727655651421</v>
      </c>
      <c r="EN44" s="355">
        <f t="shared" si="114"/>
        <v>3219.7510172778252</v>
      </c>
      <c r="EO44" s="355">
        <f t="shared" si="115"/>
        <v>2759.7865862381359</v>
      </c>
      <c r="EP44" s="355">
        <f t="shared" si="116"/>
        <v>2759.7865862381359</v>
      </c>
      <c r="EQ44" s="355">
        <f t="shared" si="117"/>
        <v>2759.7865862381359</v>
      </c>
      <c r="ER44" s="355">
        <f t="shared" si="118"/>
        <v>2391.8150414063844</v>
      </c>
      <c r="ES44" s="355">
        <f t="shared" si="119"/>
        <v>735.94308966350286</v>
      </c>
      <c r="ET44" s="353">
        <f t="shared" si="120"/>
        <v>32197.510172778253</v>
      </c>
      <c r="EU44" s="358"/>
      <c r="EV44" s="358"/>
      <c r="EW44" s="358"/>
      <c r="EX44" s="358"/>
      <c r="EY44" s="358"/>
      <c r="EZ44" s="358"/>
      <c r="FA44" s="351"/>
    </row>
    <row r="45" spans="1:164" ht="35" customHeight="1" x14ac:dyDescent="0.3">
      <c r="A45" s="330" t="s">
        <v>1756</v>
      </c>
      <c r="B45" s="318" t="s">
        <v>1097</v>
      </c>
      <c r="C45" s="318" t="s">
        <v>72</v>
      </c>
      <c r="D45" s="318" t="s">
        <v>75</v>
      </c>
      <c r="E45" s="318" t="s">
        <v>8</v>
      </c>
      <c r="F45" s="318" t="s">
        <v>946</v>
      </c>
      <c r="G45" s="318" t="s">
        <v>724</v>
      </c>
      <c r="H45" s="318" t="s">
        <v>924</v>
      </c>
      <c r="I45" s="318" t="s">
        <v>932</v>
      </c>
      <c r="J45" s="318" t="s">
        <v>1045</v>
      </c>
      <c r="K45" s="318" t="s">
        <v>1046</v>
      </c>
      <c r="L45" s="318" t="s">
        <v>1056</v>
      </c>
      <c r="M45" s="318" t="s">
        <v>1059</v>
      </c>
      <c r="N45" s="318" t="s">
        <v>1069</v>
      </c>
      <c r="O45" s="318" t="s">
        <v>1072</v>
      </c>
      <c r="P45" s="318" t="s">
        <v>1079</v>
      </c>
      <c r="Q45" s="318" t="s">
        <v>1080</v>
      </c>
      <c r="R45" s="318" t="s">
        <v>1087</v>
      </c>
      <c r="S45" s="318" t="s">
        <v>1089</v>
      </c>
      <c r="T45" s="318" t="s">
        <v>104</v>
      </c>
      <c r="U45" s="318" t="s">
        <v>104</v>
      </c>
      <c r="V45" s="318" t="s">
        <v>104</v>
      </c>
      <c r="W45" s="318" t="s">
        <v>104</v>
      </c>
      <c r="X45" s="318" t="s">
        <v>104</v>
      </c>
      <c r="Y45" s="318" t="s">
        <v>104</v>
      </c>
      <c r="Z45" s="318" t="s">
        <v>104</v>
      </c>
      <c r="AA45" s="318" t="s">
        <v>104</v>
      </c>
      <c r="AB45" s="318" t="s">
        <v>104</v>
      </c>
      <c r="AC45" s="318" t="s">
        <v>104</v>
      </c>
      <c r="AD45" s="318" t="s">
        <v>1771</v>
      </c>
      <c r="AE45" s="318">
        <v>1000</v>
      </c>
      <c r="AF45" s="318">
        <v>60</v>
      </c>
      <c r="AG45" s="318">
        <v>2012</v>
      </c>
      <c r="AH45" s="318" t="s">
        <v>982</v>
      </c>
      <c r="AI45" s="318">
        <v>2012</v>
      </c>
      <c r="AJ45" s="318" t="s">
        <v>982</v>
      </c>
      <c r="AK45" s="318"/>
      <c r="AL45" s="318"/>
      <c r="AM45" s="317">
        <f t="shared" si="121"/>
        <v>1822167.7060779154</v>
      </c>
      <c r="AN45" s="318" t="s">
        <v>800</v>
      </c>
      <c r="AO45" s="511">
        <f t="shared" si="122"/>
        <v>472413.84972390393</v>
      </c>
      <c r="AP45" s="511">
        <f t="shared" si="123"/>
        <v>1349753.8563540115</v>
      </c>
      <c r="AQ45" s="511">
        <f t="shared" si="124"/>
        <v>47241.384972390399</v>
      </c>
      <c r="AR45" s="511">
        <f t="shared" si="125"/>
        <v>1302512.471381621</v>
      </c>
      <c r="AS45" s="511">
        <f>HLOOKUP($C$1,'Inflation Adjustments'!$BI$3:$BT$4,2)*CQ45</f>
        <v>3358736.7187499995</v>
      </c>
      <c r="AT45" s="511">
        <f>IF(BU45="In Service",'Maintenace Cost Assumptions'!$B$3*AS45,0)</f>
        <v>16793.683593749996</v>
      </c>
      <c r="AU45" s="318">
        <v>4</v>
      </c>
      <c r="AV45" s="318">
        <v>4</v>
      </c>
      <c r="AW45" s="318">
        <v>4</v>
      </c>
      <c r="AX45" s="318">
        <v>4</v>
      </c>
      <c r="AY45" s="318">
        <v>4</v>
      </c>
      <c r="AZ45" s="318">
        <v>3</v>
      </c>
      <c r="BA45" s="318">
        <v>3</v>
      </c>
      <c r="BB45" s="318"/>
      <c r="BC45" s="318"/>
      <c r="BD45" s="318"/>
      <c r="BE45" s="318">
        <v>4</v>
      </c>
      <c r="BF45" s="318"/>
      <c r="BG45" s="332">
        <f>(AU45*'Condition rating weights'!H$8+AV45*'Condition rating weights'!I$8+AW45*'Condition rating weights'!J$8+AX45*'Condition rating weights'!K$8+AY45*'Condition rating weights'!L$8+AZ45*'Condition rating weights'!M$8+BA45*'Condition rating weights'!N$8+BB45*'Condition rating weights'!O$8+BC45*'Condition rating weights'!P$8+BD45*'Condition rating weights'!Q$8+BE45*'Condition rating weights'!R$8+BF45*'Condition rating weights'!S$8)/100</f>
        <v>0.77</v>
      </c>
      <c r="BH45" s="333">
        <v>1</v>
      </c>
      <c r="BI45" s="333">
        <v>321</v>
      </c>
      <c r="BJ45" s="333" t="s">
        <v>12</v>
      </c>
      <c r="BK45" s="333" t="s">
        <v>959</v>
      </c>
      <c r="BL45" s="333" t="s">
        <v>960</v>
      </c>
      <c r="BM45" s="333" t="s">
        <v>1030</v>
      </c>
      <c r="BN45" s="333" t="s">
        <v>117</v>
      </c>
      <c r="BO45" s="333" t="s">
        <v>962</v>
      </c>
      <c r="BP45" s="333" t="s">
        <v>962</v>
      </c>
      <c r="BQ45" s="333" t="s">
        <v>963</v>
      </c>
      <c r="BR45" s="333" t="s">
        <v>964</v>
      </c>
      <c r="BS45" s="333" t="s">
        <v>964</v>
      </c>
      <c r="BT45" s="334" t="s">
        <v>965</v>
      </c>
      <c r="BU45" s="335" t="s">
        <v>1429</v>
      </c>
      <c r="BV45" s="282"/>
      <c r="BW45" s="282"/>
      <c r="BX45" s="282"/>
      <c r="BY45" s="282"/>
      <c r="BZ45" s="282"/>
      <c r="CA45" s="282"/>
      <c r="CB45" s="282"/>
      <c r="CC45" s="282"/>
      <c r="CD45" s="282"/>
      <c r="CE45" s="282"/>
      <c r="CF45" s="282"/>
      <c r="CG45" s="351">
        <f t="shared" si="5"/>
        <v>200000</v>
      </c>
      <c r="CH45" s="351">
        <f t="shared" si="6"/>
        <v>800000</v>
      </c>
      <c r="CI45" s="351">
        <f t="shared" si="7"/>
        <v>150000</v>
      </c>
      <c r="CJ45" s="351">
        <f t="shared" si="8"/>
        <v>230000</v>
      </c>
      <c r="CK45" s="351">
        <f t="shared" si="9"/>
        <v>350000</v>
      </c>
      <c r="CL45" s="351">
        <f t="shared" si="10"/>
        <v>150000</v>
      </c>
      <c r="CM45" s="351">
        <f t="shared" si="11"/>
        <v>100000</v>
      </c>
      <c r="CN45" s="351">
        <f t="shared" si="12"/>
        <v>100000</v>
      </c>
      <c r="CO45" s="351">
        <f t="shared" si="13"/>
        <v>130000</v>
      </c>
      <c r="CP45" s="351">
        <f t="shared" si="14"/>
        <v>40000</v>
      </c>
      <c r="CQ45" s="352">
        <f t="shared" si="87"/>
        <v>2250000</v>
      </c>
      <c r="CR45" s="353">
        <f>(HLOOKUP($AI45,'Inflation Adjustments'!$B$3:$BT$4,2,TRUE))*CG45</f>
        <v>161970.46276248136</v>
      </c>
      <c r="CS45" s="353">
        <f>(HLOOKUP($AI45,'Inflation Adjustments'!$B$3:$BT$4,2,TRUE))*CH45</f>
        <v>647881.85104992543</v>
      </c>
      <c r="CT45" s="353">
        <f>(HLOOKUP($AI45,'Inflation Adjustments'!$B$3:$BT$4,2,TRUE))*CI45</f>
        <v>121477.84707186103</v>
      </c>
      <c r="CU45" s="353">
        <f>(HLOOKUP($AI45,'Inflation Adjustments'!$B$3:$BT$4,2,TRUE))*CJ45</f>
        <v>186266.03217685357</v>
      </c>
      <c r="CV45" s="353">
        <f>(HLOOKUP($AI45,'Inflation Adjustments'!$B$3:$BT$4,2,TRUE))*CK45</f>
        <v>283448.30983434239</v>
      </c>
      <c r="CW45" s="353">
        <f>(HLOOKUP($AI45,'Inflation Adjustments'!$B$3:$BT$4,2,TRUE))*CL45</f>
        <v>121477.84707186103</v>
      </c>
      <c r="CX45" s="353">
        <f>(HLOOKUP($AI45,'Inflation Adjustments'!$B$3:$BT$4,2,TRUE))*CM45</f>
        <v>80985.231381240679</v>
      </c>
      <c r="CY45" s="353">
        <f>(HLOOKUP($AI45,'Inflation Adjustments'!$B$3:$BT$4,2,TRUE))*CN45</f>
        <v>80985.231381240679</v>
      </c>
      <c r="CZ45" s="353">
        <f>(HLOOKUP($AI45,'Inflation Adjustments'!$B$3:$BT$4,2,TRUE))*CO45</f>
        <v>105280.80079561289</v>
      </c>
      <c r="DA45" s="353">
        <f>(HLOOKUP($AI45,'Inflation Adjustments'!$B$3:$BT$4,2,TRUE))*CP45</f>
        <v>32394.092552496273</v>
      </c>
      <c r="DB45" s="353">
        <f t="shared" si="39"/>
        <v>1822167.7060779154</v>
      </c>
      <c r="DC45" s="354">
        <f t="shared" si="54"/>
        <v>10</v>
      </c>
      <c r="DD45" s="351">
        <f t="shared" si="16"/>
        <v>60</v>
      </c>
      <c r="DE45" s="351">
        <f t="shared" si="17"/>
        <v>60</v>
      </c>
      <c r="DF45" s="351">
        <f t="shared" si="18"/>
        <v>20</v>
      </c>
      <c r="DG45" s="351">
        <f t="shared" si="19"/>
        <v>30</v>
      </c>
      <c r="DH45" s="351">
        <f t="shared" si="20"/>
        <v>60</v>
      </c>
      <c r="DI45" s="351">
        <f t="shared" si="21"/>
        <v>30</v>
      </c>
      <c r="DJ45" s="351">
        <f t="shared" si="22"/>
        <v>20</v>
      </c>
      <c r="DK45" s="351">
        <f t="shared" si="23"/>
        <v>20</v>
      </c>
      <c r="DL45" s="351">
        <f t="shared" si="24"/>
        <v>30</v>
      </c>
      <c r="DM45" s="351">
        <f t="shared" si="25"/>
        <v>30</v>
      </c>
      <c r="DN45" s="355">
        <f t="shared" si="88"/>
        <v>2699.5077127080226</v>
      </c>
      <c r="DO45" s="355">
        <f t="shared" si="89"/>
        <v>10798.03085083209</v>
      </c>
      <c r="DP45" s="355">
        <f t="shared" si="90"/>
        <v>6073.8923535930517</v>
      </c>
      <c r="DQ45" s="355">
        <f t="shared" si="91"/>
        <v>6208.8677392284526</v>
      </c>
      <c r="DR45" s="355">
        <f t="shared" si="92"/>
        <v>4724.1384972390397</v>
      </c>
      <c r="DS45" s="355">
        <f t="shared" si="93"/>
        <v>4049.2615690620346</v>
      </c>
      <c r="DT45" s="355">
        <f t="shared" si="94"/>
        <v>4049.2615690620341</v>
      </c>
      <c r="DU45" s="355">
        <f t="shared" si="95"/>
        <v>4049.2615690620341</v>
      </c>
      <c r="DV45" s="355">
        <f t="shared" si="96"/>
        <v>3509.3600265204295</v>
      </c>
      <c r="DW45" s="355">
        <f t="shared" si="97"/>
        <v>1079.803085083209</v>
      </c>
      <c r="DX45" s="355">
        <f t="shared" si="98"/>
        <v>47241.384972390399</v>
      </c>
      <c r="DY45" s="351">
        <f t="shared" si="99"/>
        <v>26995.077127080225</v>
      </c>
      <c r="DZ45" s="351">
        <f t="shared" si="100"/>
        <v>107980.3085083209</v>
      </c>
      <c r="EA45" s="351">
        <f t="shared" si="101"/>
        <v>60738.923535930517</v>
      </c>
      <c r="EB45" s="351">
        <f t="shared" si="102"/>
        <v>62088.677392284524</v>
      </c>
      <c r="EC45" s="351">
        <f t="shared" si="103"/>
        <v>47241.384972390399</v>
      </c>
      <c r="ED45" s="351">
        <f t="shared" si="104"/>
        <v>40492.615690620347</v>
      </c>
      <c r="EE45" s="351">
        <f t="shared" si="105"/>
        <v>40492.61569062034</v>
      </c>
      <c r="EF45" s="351">
        <f t="shared" si="106"/>
        <v>40492.61569062034</v>
      </c>
      <c r="EG45" s="351">
        <f t="shared" si="107"/>
        <v>35093.600265204295</v>
      </c>
      <c r="EH45" s="351">
        <f t="shared" si="108"/>
        <v>10798.03085083209</v>
      </c>
      <c r="EI45" s="352">
        <f t="shared" si="109"/>
        <v>472413.84972390393</v>
      </c>
      <c r="EJ45" s="355">
        <f t="shared" si="110"/>
        <v>2699.5077127080226</v>
      </c>
      <c r="EK45" s="355">
        <f t="shared" si="111"/>
        <v>10798.03085083209</v>
      </c>
      <c r="EL45" s="355">
        <f t="shared" si="112"/>
        <v>6073.8923535930517</v>
      </c>
      <c r="EM45" s="355">
        <f t="shared" si="113"/>
        <v>6208.8677392284526</v>
      </c>
      <c r="EN45" s="355">
        <f t="shared" si="114"/>
        <v>4724.1384972390397</v>
      </c>
      <c r="EO45" s="355">
        <f t="shared" si="115"/>
        <v>4049.2615690620346</v>
      </c>
      <c r="EP45" s="355">
        <f t="shared" si="116"/>
        <v>4049.2615690620341</v>
      </c>
      <c r="EQ45" s="355">
        <f t="shared" si="117"/>
        <v>4049.2615690620341</v>
      </c>
      <c r="ER45" s="355">
        <f t="shared" si="118"/>
        <v>3509.3600265204295</v>
      </c>
      <c r="ES45" s="355">
        <f t="shared" si="119"/>
        <v>1079.803085083209</v>
      </c>
      <c r="ET45" s="353">
        <f t="shared" si="120"/>
        <v>47241.384972390399</v>
      </c>
      <c r="EU45" s="358"/>
      <c r="EV45" s="358"/>
      <c r="EW45" s="358"/>
      <c r="EX45" s="358"/>
      <c r="EY45" s="358"/>
      <c r="EZ45" s="358"/>
      <c r="FA45" s="351"/>
    </row>
    <row r="46" spans="1:164" ht="35" customHeight="1" x14ac:dyDescent="0.3">
      <c r="A46" s="330" t="s">
        <v>1757</v>
      </c>
      <c r="B46" s="318" t="s">
        <v>879</v>
      </c>
      <c r="C46" s="318" t="s">
        <v>72</v>
      </c>
      <c r="D46" s="318" t="s">
        <v>75</v>
      </c>
      <c r="E46" s="318" t="s">
        <v>8</v>
      </c>
      <c r="F46" s="318" t="s">
        <v>271</v>
      </c>
      <c r="G46" s="318" t="s">
        <v>724</v>
      </c>
      <c r="H46" s="318" t="s">
        <v>933</v>
      </c>
      <c r="I46" s="318" t="s">
        <v>934</v>
      </c>
      <c r="J46" s="318" t="s">
        <v>1045</v>
      </c>
      <c r="K46" s="318" t="s">
        <v>1047</v>
      </c>
      <c r="L46" s="318" t="s">
        <v>1055</v>
      </c>
      <c r="M46" s="318" t="s">
        <v>1060</v>
      </c>
      <c r="N46" s="318" t="s">
        <v>1069</v>
      </c>
      <c r="O46" s="318" t="s">
        <v>1072</v>
      </c>
      <c r="P46" s="318" t="s">
        <v>1079</v>
      </c>
      <c r="Q46" s="318" t="s">
        <v>1080</v>
      </c>
      <c r="R46" s="318" t="s">
        <v>1087</v>
      </c>
      <c r="S46" s="318" t="s">
        <v>1089</v>
      </c>
      <c r="T46" s="318" t="s">
        <v>102</v>
      </c>
      <c r="U46" s="318" t="s">
        <v>102</v>
      </c>
      <c r="V46" s="318" t="s">
        <v>102</v>
      </c>
      <c r="W46" s="318" t="s">
        <v>102</v>
      </c>
      <c r="X46" s="318" t="s">
        <v>102</v>
      </c>
      <c r="Y46" s="318" t="s">
        <v>102</v>
      </c>
      <c r="Z46" s="318" t="s">
        <v>102</v>
      </c>
      <c r="AA46" s="318" t="s">
        <v>102</v>
      </c>
      <c r="AB46" s="318" t="s">
        <v>102</v>
      </c>
      <c r="AC46" s="318" t="s">
        <v>102</v>
      </c>
      <c r="AD46" s="318" t="s">
        <v>1771</v>
      </c>
      <c r="AE46" s="318">
        <v>232</v>
      </c>
      <c r="AF46" s="318">
        <v>40</v>
      </c>
      <c r="AG46" s="318">
        <v>1982</v>
      </c>
      <c r="AH46" s="318" t="s">
        <v>800</v>
      </c>
      <c r="AI46" s="318">
        <v>1982</v>
      </c>
      <c r="AJ46" s="318" t="s">
        <v>800</v>
      </c>
      <c r="AK46" s="318">
        <v>2008</v>
      </c>
      <c r="AL46" s="318"/>
      <c r="AM46" s="317">
        <f t="shared" si="121"/>
        <v>122750.42504449691</v>
      </c>
      <c r="AN46" s="318" t="s">
        <v>800</v>
      </c>
      <c r="AO46" s="511">
        <f t="shared" si="122"/>
        <v>110750.42504449692</v>
      </c>
      <c r="AP46" s="511">
        <f t="shared" si="123"/>
        <v>11999.999999999985</v>
      </c>
      <c r="AQ46" s="511">
        <f t="shared" si="124"/>
        <v>1999.9999999999945</v>
      </c>
      <c r="AR46" s="511">
        <f t="shared" si="125"/>
        <v>9999.9999999999909</v>
      </c>
      <c r="AS46" s="511">
        <f>HLOOKUP($C$1,'Inflation Adjustments'!$BI$3:$BT$4,2)*CQ46</f>
        <v>529874.30474999989</v>
      </c>
      <c r="AT46" s="511">
        <f>IF(BU46="In Service",'Maintenace Cost Assumptions'!$B$3*AS46,0)</f>
        <v>2649.3715237499996</v>
      </c>
      <c r="AU46" s="318">
        <v>3</v>
      </c>
      <c r="AV46" s="318">
        <v>3</v>
      </c>
      <c r="AW46" s="318">
        <v>3</v>
      </c>
      <c r="AX46" s="318">
        <v>3</v>
      </c>
      <c r="AY46" s="318">
        <v>3</v>
      </c>
      <c r="AZ46" s="318">
        <v>3</v>
      </c>
      <c r="BA46" s="318">
        <v>3</v>
      </c>
      <c r="BB46" s="318"/>
      <c r="BC46" s="318"/>
      <c r="BD46" s="318"/>
      <c r="BE46" s="318">
        <v>4</v>
      </c>
      <c r="BF46" s="318"/>
      <c r="BG46" s="332">
        <f>(AU46*'Condition rating weights'!H$8+AV46*'Condition rating weights'!I$8+AW46*'Condition rating weights'!J$8+AX46*'Condition rating weights'!K$8+AY46*'Condition rating weights'!L$8+AZ46*'Condition rating weights'!M$8+BA46*'Condition rating weights'!N$8+BB46*'Condition rating weights'!O$8+BC46*'Condition rating weights'!P$8+BD46*'Condition rating weights'!Q$8+BE46*'Condition rating weights'!R$8+BF46*'Condition rating weights'!S$8)/100</f>
        <v>0.66</v>
      </c>
      <c r="BH46" s="333">
        <v>1</v>
      </c>
      <c r="BI46" s="333">
        <v>111</v>
      </c>
      <c r="BJ46" s="333" t="s">
        <v>12</v>
      </c>
      <c r="BK46" s="333" t="s">
        <v>959</v>
      </c>
      <c r="BL46" s="333" t="s">
        <v>960</v>
      </c>
      <c r="BM46" s="333" t="s">
        <v>1030</v>
      </c>
      <c r="BN46" s="333" t="s">
        <v>117</v>
      </c>
      <c r="BO46" s="333" t="s">
        <v>962</v>
      </c>
      <c r="BP46" s="333" t="s">
        <v>962</v>
      </c>
      <c r="BQ46" s="333" t="s">
        <v>963</v>
      </c>
      <c r="BR46" s="333" t="s">
        <v>964</v>
      </c>
      <c r="BS46" s="333" t="s">
        <v>964</v>
      </c>
      <c r="BT46" s="334" t="s">
        <v>965</v>
      </c>
      <c r="BU46" s="335" t="s">
        <v>1429</v>
      </c>
      <c r="BV46" s="282"/>
      <c r="BW46" s="282"/>
      <c r="BX46" s="282"/>
      <c r="BY46" s="282"/>
      <c r="BZ46" s="282"/>
      <c r="CA46" s="282"/>
      <c r="CB46" s="282"/>
      <c r="CC46" s="282"/>
      <c r="CD46" s="282"/>
      <c r="CE46" s="282"/>
      <c r="CF46" s="282"/>
      <c r="CG46" s="351">
        <f t="shared" si="5"/>
        <v>34800</v>
      </c>
      <c r="CH46" s="351">
        <f t="shared" si="6"/>
        <v>116000</v>
      </c>
      <c r="CI46" s="351">
        <f t="shared" si="7"/>
        <v>23200</v>
      </c>
      <c r="CJ46" s="351">
        <f t="shared" si="8"/>
        <v>34800</v>
      </c>
      <c r="CK46" s="351">
        <f t="shared" si="9"/>
        <v>58000</v>
      </c>
      <c r="CL46" s="351">
        <f t="shared" si="10"/>
        <v>23200</v>
      </c>
      <c r="CM46" s="351">
        <f t="shared" si="11"/>
        <v>18560</v>
      </c>
      <c r="CN46" s="351">
        <f t="shared" si="12"/>
        <v>18560</v>
      </c>
      <c r="CO46" s="351">
        <f t="shared" si="13"/>
        <v>23200</v>
      </c>
      <c r="CP46" s="351">
        <f t="shared" si="14"/>
        <v>4640</v>
      </c>
      <c r="CQ46" s="352">
        <f t="shared" si="87"/>
        <v>354960</v>
      </c>
      <c r="CR46" s="353">
        <f>(HLOOKUP($AI46,'Inflation Adjustments'!$B$3:$BT$4,2,TRUE))*CG46</f>
        <v>8112.7867690683242</v>
      </c>
      <c r="CS46" s="353">
        <f>(HLOOKUP($AI46,'Inflation Adjustments'!$B$3:$BT$4,2,TRUE))*CH46</f>
        <v>27042.622563561079</v>
      </c>
      <c r="CT46" s="353">
        <f>(HLOOKUP($AI46,'Inflation Adjustments'!$B$3:$BT$4,2,TRUE))*CI46</f>
        <v>5408.5245127122162</v>
      </c>
      <c r="CU46" s="353">
        <f>(HLOOKUP($AI46,'Inflation Adjustments'!$B$3:$BT$4,2,TRUE))*CJ46</f>
        <v>8112.7867690683242</v>
      </c>
      <c r="CV46" s="353">
        <f>(HLOOKUP($AI46,'Inflation Adjustments'!$B$3:$BT$4,2,TRUE))*CK46</f>
        <v>13521.31128178054</v>
      </c>
      <c r="CW46" s="353">
        <f>(HLOOKUP($AI46,'Inflation Adjustments'!$B$3:$BT$4,2,TRUE))*CL46</f>
        <v>5408.5245127122162</v>
      </c>
      <c r="CX46" s="353">
        <f>(HLOOKUP($AI46,'Inflation Adjustments'!$B$3:$BT$4,2,TRUE))*CM46</f>
        <v>4326.8196101697731</v>
      </c>
      <c r="CY46" s="353">
        <f>(HLOOKUP($AI46,'Inflation Adjustments'!$B$3:$BT$4,2,TRUE))*CN46</f>
        <v>4326.8196101697731</v>
      </c>
      <c r="CZ46" s="353">
        <f>(HLOOKUP($AI46,'Inflation Adjustments'!$B$3:$BT$4,2,TRUE))*CO46</f>
        <v>5408.5245127122162</v>
      </c>
      <c r="DA46" s="353">
        <f>(HLOOKUP($AI46,'Inflation Adjustments'!$B$3:$BT$4,2,TRUE))*CP46</f>
        <v>1081.7049025424433</v>
      </c>
      <c r="DB46" s="353">
        <f t="shared" si="39"/>
        <v>82750.425044496908</v>
      </c>
      <c r="DC46" s="354">
        <f t="shared" si="54"/>
        <v>40</v>
      </c>
      <c r="DD46" s="351">
        <f t="shared" si="16"/>
        <v>40</v>
      </c>
      <c r="DE46" s="351">
        <f t="shared" si="17"/>
        <v>40</v>
      </c>
      <c r="DF46" s="351">
        <f t="shared" si="18"/>
        <v>10</v>
      </c>
      <c r="DG46" s="351">
        <f t="shared" si="19"/>
        <v>20</v>
      </c>
      <c r="DH46" s="351">
        <f t="shared" si="20"/>
        <v>40</v>
      </c>
      <c r="DI46" s="351">
        <f t="shared" si="21"/>
        <v>20</v>
      </c>
      <c r="DJ46" s="351">
        <f t="shared" si="22"/>
        <v>10</v>
      </c>
      <c r="DK46" s="351">
        <f t="shared" si="23"/>
        <v>10</v>
      </c>
      <c r="DL46" s="351">
        <f t="shared" si="24"/>
        <v>20</v>
      </c>
      <c r="DM46" s="351">
        <f t="shared" si="25"/>
        <v>20</v>
      </c>
      <c r="DN46" s="355">
        <f t="shared" si="88"/>
        <v>202.8196692267081</v>
      </c>
      <c r="DO46" s="355">
        <f t="shared" si="89"/>
        <v>676.06556408902702</v>
      </c>
      <c r="DP46" s="355">
        <f t="shared" si="90"/>
        <v>540.85245127122164</v>
      </c>
      <c r="DQ46" s="355">
        <f t="shared" si="91"/>
        <v>405.6393384534162</v>
      </c>
      <c r="DR46" s="355">
        <f t="shared" si="92"/>
        <v>338.03278204451351</v>
      </c>
      <c r="DS46" s="355">
        <f t="shared" si="93"/>
        <v>270.42622563561082</v>
      </c>
      <c r="DT46" s="355">
        <f t="shared" si="94"/>
        <v>432.68196101697731</v>
      </c>
      <c r="DU46" s="355">
        <f t="shared" si="95"/>
        <v>432.68196101697731</v>
      </c>
      <c r="DV46" s="355">
        <f t="shared" si="96"/>
        <v>270.42622563561082</v>
      </c>
      <c r="DW46" s="355">
        <f t="shared" si="97"/>
        <v>54.085245127122164</v>
      </c>
      <c r="DX46" s="355">
        <f t="shared" si="98"/>
        <v>3623.7114235171853</v>
      </c>
      <c r="DY46" s="351">
        <f t="shared" si="99"/>
        <v>8112.7867690683242</v>
      </c>
      <c r="DZ46" s="351">
        <f t="shared" si="100"/>
        <v>27042.622563561083</v>
      </c>
      <c r="EA46" s="351">
        <f t="shared" si="101"/>
        <v>5408.5245127122162</v>
      </c>
      <c r="EB46" s="351">
        <f t="shared" si="102"/>
        <v>8112.7867690683242</v>
      </c>
      <c r="EC46" s="351">
        <f t="shared" si="103"/>
        <v>13521.311281780541</v>
      </c>
      <c r="ED46" s="351">
        <f t="shared" si="104"/>
        <v>5408.5245127122162</v>
      </c>
      <c r="EE46" s="351">
        <f t="shared" si="105"/>
        <v>4326.8196101697731</v>
      </c>
      <c r="EF46" s="351">
        <f t="shared" si="106"/>
        <v>4326.8196101697731</v>
      </c>
      <c r="EG46" s="351">
        <f t="shared" si="107"/>
        <v>5408.5245127122162</v>
      </c>
      <c r="EH46" s="351">
        <f t="shared" si="108"/>
        <v>1081.7049025424433</v>
      </c>
      <c r="EI46" s="352">
        <f t="shared" si="109"/>
        <v>82750.425044496922</v>
      </c>
      <c r="EJ46" s="355">
        <f t="shared" si="110"/>
        <v>0</v>
      </c>
      <c r="EK46" s="355">
        <f t="shared" si="111"/>
        <v>-3.637978807091713E-12</v>
      </c>
      <c r="EL46" s="355">
        <f t="shared" si="112"/>
        <v>0</v>
      </c>
      <c r="EM46" s="355">
        <f t="shared" si="113"/>
        <v>0</v>
      </c>
      <c r="EN46" s="355">
        <f t="shared" si="114"/>
        <v>-1.8189894035458565E-12</v>
      </c>
      <c r="EO46" s="355">
        <f t="shared" si="115"/>
        <v>0</v>
      </c>
      <c r="EP46" s="355">
        <f t="shared" si="116"/>
        <v>0</v>
      </c>
      <c r="EQ46" s="355">
        <f t="shared" si="117"/>
        <v>0</v>
      </c>
      <c r="ER46" s="355">
        <f t="shared" si="118"/>
        <v>0</v>
      </c>
      <c r="ES46" s="355">
        <f t="shared" si="119"/>
        <v>0</v>
      </c>
      <c r="ET46" s="353">
        <f t="shared" si="120"/>
        <v>-5.4569682106375694E-12</v>
      </c>
      <c r="EU46" s="356">
        <v>2008</v>
      </c>
      <c r="EV46" s="358">
        <v>40000</v>
      </c>
      <c r="EW46" s="356">
        <v>20</v>
      </c>
      <c r="EX46" s="358">
        <f>$C$1-1-EU46</f>
        <v>14</v>
      </c>
      <c r="EY46" s="358">
        <f>EV46/EW46</f>
        <v>2000</v>
      </c>
      <c r="EZ46" s="358">
        <f>IF(EX46*EY46&lt;EV46,EX46*EY46,EV46)</f>
        <v>28000</v>
      </c>
      <c r="FA46" s="351">
        <f>IF(EY46&lt;(EV46-EZ46),EY46,(E100-EZ46))</f>
        <v>2000</v>
      </c>
    </row>
    <row r="47" spans="1:164" ht="35" customHeight="1" x14ac:dyDescent="0.3">
      <c r="A47" s="330" t="s">
        <v>1758</v>
      </c>
      <c r="B47" s="318" t="s">
        <v>1373</v>
      </c>
      <c r="C47" s="318" t="s">
        <v>72</v>
      </c>
      <c r="D47" s="318" t="s">
        <v>91</v>
      </c>
      <c r="E47" s="318" t="s">
        <v>8</v>
      </c>
      <c r="F47" s="318" t="s">
        <v>945</v>
      </c>
      <c r="G47" s="318" t="s">
        <v>724</v>
      </c>
      <c r="H47" s="318" t="s">
        <v>1184</v>
      </c>
      <c r="I47" s="318" t="s">
        <v>1185</v>
      </c>
      <c r="J47" s="318" t="s">
        <v>1186</v>
      </c>
      <c r="K47" s="318" t="s">
        <v>1046</v>
      </c>
      <c r="L47" s="318" t="s">
        <v>1056</v>
      </c>
      <c r="M47" s="318" t="s">
        <v>1059</v>
      </c>
      <c r="N47" s="318" t="s">
        <v>1069</v>
      </c>
      <c r="O47" s="318" t="s">
        <v>1371</v>
      </c>
      <c r="P47" s="318" t="s">
        <v>1077</v>
      </c>
      <c r="Q47" s="318" t="s">
        <v>1080</v>
      </c>
      <c r="R47" s="318" t="s">
        <v>1087</v>
      </c>
      <c r="S47" s="318" t="s">
        <v>1089</v>
      </c>
      <c r="T47" s="318" t="s">
        <v>1018</v>
      </c>
      <c r="U47" s="318" t="s">
        <v>1018</v>
      </c>
      <c r="V47" s="318" t="s">
        <v>102</v>
      </c>
      <c r="W47" s="318" t="s">
        <v>102</v>
      </c>
      <c r="X47" s="318" t="s">
        <v>102</v>
      </c>
      <c r="Y47" s="318" t="s">
        <v>102</v>
      </c>
      <c r="Z47" s="318" t="s">
        <v>102</v>
      </c>
      <c r="AA47" s="318" t="s">
        <v>102</v>
      </c>
      <c r="AB47" s="318" t="s">
        <v>102</v>
      </c>
      <c r="AC47" s="318" t="s">
        <v>102</v>
      </c>
      <c r="AD47" s="318" t="s">
        <v>1771</v>
      </c>
      <c r="AE47" s="318">
        <f>2*41*19</f>
        <v>1558</v>
      </c>
      <c r="AF47" s="318">
        <v>60</v>
      </c>
      <c r="AG47" s="318">
        <v>2018</v>
      </c>
      <c r="AH47" s="318" t="s">
        <v>982</v>
      </c>
      <c r="AI47" s="318">
        <f>AG47</f>
        <v>2018</v>
      </c>
      <c r="AJ47" s="318" t="s">
        <v>982</v>
      </c>
      <c r="AK47" s="318"/>
      <c r="AL47" s="318"/>
      <c r="AM47" s="317">
        <f>DB47+EV47</f>
        <v>4018710.2983638118</v>
      </c>
      <c r="AN47" s="318" t="s">
        <v>800</v>
      </c>
      <c r="AO47" s="511">
        <f>EI47+EZ47</f>
        <v>484344.56207892206</v>
      </c>
      <c r="AP47" s="511">
        <f>AM47-AO47</f>
        <v>3534365.7362848897</v>
      </c>
      <c r="AQ47" s="511">
        <f>ET47+FA47</f>
        <v>121086.14051973051</v>
      </c>
      <c r="AR47" s="511">
        <f>AP47-AQ47</f>
        <v>3413279.5957651595</v>
      </c>
      <c r="AS47" s="511">
        <f>HLOOKUP($C$1,'Inflation Adjustments'!$BI$3:$BT$4,2)*CQ47</f>
        <v>6232979.3977499995</v>
      </c>
      <c r="AT47" s="511">
        <f>IF(BU47="In Service",'Maintenace Cost Assumptions'!$B$3*AS47,0)</f>
        <v>31164.896988749999</v>
      </c>
      <c r="AU47" s="318">
        <v>5</v>
      </c>
      <c r="AV47" s="318">
        <v>5</v>
      </c>
      <c r="AW47" s="318">
        <v>4</v>
      </c>
      <c r="AX47" s="318">
        <v>4</v>
      </c>
      <c r="AY47" s="318">
        <v>4</v>
      </c>
      <c r="AZ47" s="318">
        <v>4</v>
      </c>
      <c r="BA47" s="318">
        <v>4</v>
      </c>
      <c r="BB47" s="318"/>
      <c r="BC47" s="318"/>
      <c r="BD47" s="318"/>
      <c r="BE47" s="318">
        <v>4</v>
      </c>
      <c r="BF47" s="318"/>
      <c r="BG47" s="332">
        <f>(AU47*'Condition rating weights'!H$8+AV47*'Condition rating weights'!I$8+AW47*'Condition rating weights'!J$8+AX47*'Condition rating weights'!K$8+AY47*'Condition rating weights'!L$8+AZ47*'Condition rating weights'!M$8+BA47*'Condition rating weights'!N$8+BB47*'Condition rating weights'!O$8+BC47*'Condition rating weights'!P$8+BD47*'Condition rating weights'!Q$8+BE47*'Condition rating weights'!R$8+BF47*'Condition rating weights'!S$8)/100</f>
        <v>0.88</v>
      </c>
      <c r="BH47" s="333">
        <v>1</v>
      </c>
      <c r="BI47" s="333">
        <v>321</v>
      </c>
      <c r="BJ47" s="333" t="s">
        <v>12</v>
      </c>
      <c r="BK47" s="333" t="s">
        <v>959</v>
      </c>
      <c r="BL47" s="333" t="s">
        <v>960</v>
      </c>
      <c r="BM47" s="333" t="s">
        <v>1030</v>
      </c>
      <c r="BN47" s="333" t="s">
        <v>117</v>
      </c>
      <c r="BO47" s="333" t="s">
        <v>962</v>
      </c>
      <c r="BP47" s="333" t="s">
        <v>962</v>
      </c>
      <c r="BQ47" s="333" t="s">
        <v>963</v>
      </c>
      <c r="BR47" s="333" t="s">
        <v>964</v>
      </c>
      <c r="BS47" s="333" t="s">
        <v>964</v>
      </c>
      <c r="BT47" s="334" t="s">
        <v>965</v>
      </c>
      <c r="BU47" s="335" t="s">
        <v>1429</v>
      </c>
      <c r="BV47" s="282"/>
      <c r="BW47" s="282"/>
      <c r="BX47" s="282"/>
      <c r="BY47" s="282"/>
      <c r="BZ47" s="282"/>
      <c r="CA47" s="282"/>
      <c r="CB47" s="282"/>
      <c r="CC47" s="282"/>
      <c r="CD47" s="282"/>
      <c r="CE47" s="282"/>
      <c r="CF47" s="282"/>
      <c r="CG47" s="351">
        <f t="shared" si="5"/>
        <v>467400</v>
      </c>
      <c r="CH47" s="351">
        <f t="shared" si="6"/>
        <v>2337000</v>
      </c>
      <c r="CI47" s="351">
        <f t="shared" si="7"/>
        <v>155800</v>
      </c>
      <c r="CJ47" s="351">
        <f t="shared" si="8"/>
        <v>233700</v>
      </c>
      <c r="CK47" s="351">
        <f t="shared" si="9"/>
        <v>389500</v>
      </c>
      <c r="CL47" s="351">
        <f t="shared" si="10"/>
        <v>155800</v>
      </c>
      <c r="CM47" s="351">
        <f t="shared" si="11"/>
        <v>124640</v>
      </c>
      <c r="CN47" s="351">
        <f t="shared" si="12"/>
        <v>124640</v>
      </c>
      <c r="CO47" s="351">
        <f t="shared" si="13"/>
        <v>155800</v>
      </c>
      <c r="CP47" s="351">
        <f t="shared" si="14"/>
        <v>31160</v>
      </c>
      <c r="CQ47" s="352">
        <f>SUM(CG47:CP47)</f>
        <v>4175440</v>
      </c>
      <c r="CR47" s="353">
        <f>(HLOOKUP($AI47,'Inflation Adjustments'!$B$3:$BT$4,2,TRUE))*CG47</f>
        <v>449855.6304138595</v>
      </c>
      <c r="CS47" s="353">
        <f>(HLOOKUP($AI47,'Inflation Adjustments'!$B$3:$BT$4,2,TRUE))*CH47</f>
        <v>2249278.1520692976</v>
      </c>
      <c r="CT47" s="353">
        <f>(HLOOKUP($AI47,'Inflation Adjustments'!$B$3:$BT$4,2,TRUE))*CI47</f>
        <v>149951.87680461982</v>
      </c>
      <c r="CU47" s="353">
        <f>(HLOOKUP($AI47,'Inflation Adjustments'!$B$3:$BT$4,2,TRUE))*CJ47</f>
        <v>224927.81520692975</v>
      </c>
      <c r="CV47" s="353">
        <f>(HLOOKUP($AI47,'Inflation Adjustments'!$B$3:$BT$4,2,TRUE))*CK47</f>
        <v>374879.6920115496</v>
      </c>
      <c r="CW47" s="353">
        <f>(HLOOKUP($AI47,'Inflation Adjustments'!$B$3:$BT$4,2,TRUE))*CL47</f>
        <v>149951.87680461982</v>
      </c>
      <c r="CX47" s="353">
        <f>(HLOOKUP($AI47,'Inflation Adjustments'!$B$3:$BT$4,2,TRUE))*CM47</f>
        <v>119961.50144369586</v>
      </c>
      <c r="CY47" s="353">
        <f>(HLOOKUP($AI47,'Inflation Adjustments'!$B$3:$BT$4,2,TRUE))*CN47</f>
        <v>119961.50144369586</v>
      </c>
      <c r="CZ47" s="353">
        <f>(HLOOKUP($AI47,'Inflation Adjustments'!$B$3:$BT$4,2,TRUE))*CO47</f>
        <v>149951.87680461982</v>
      </c>
      <c r="DA47" s="353">
        <f>(HLOOKUP($AI47,'Inflation Adjustments'!$B$3:$BT$4,2,TRUE))*CP47</f>
        <v>29990.375360923965</v>
      </c>
      <c r="DB47" s="353">
        <f>SUM(CR47:DA47)</f>
        <v>4018710.2983638118</v>
      </c>
      <c r="DC47" s="354">
        <f t="shared" si="54"/>
        <v>4</v>
      </c>
      <c r="DD47" s="351">
        <f t="shared" si="16"/>
        <v>60</v>
      </c>
      <c r="DE47" s="351">
        <f t="shared" si="17"/>
        <v>60</v>
      </c>
      <c r="DF47" s="351">
        <f t="shared" si="18"/>
        <v>10</v>
      </c>
      <c r="DG47" s="351">
        <f t="shared" si="19"/>
        <v>20</v>
      </c>
      <c r="DH47" s="351">
        <f t="shared" si="20"/>
        <v>40</v>
      </c>
      <c r="DI47" s="351">
        <f t="shared" si="21"/>
        <v>20</v>
      </c>
      <c r="DJ47" s="351">
        <f t="shared" si="22"/>
        <v>10</v>
      </c>
      <c r="DK47" s="351">
        <f t="shared" si="23"/>
        <v>10</v>
      </c>
      <c r="DL47" s="351">
        <f t="shared" si="24"/>
        <v>20</v>
      </c>
      <c r="DM47" s="351">
        <f t="shared" si="25"/>
        <v>20</v>
      </c>
      <c r="DN47" s="355">
        <f t="shared" ref="DN47:DW47" si="126">CR47/DD47</f>
        <v>7497.5938402309921</v>
      </c>
      <c r="DO47" s="355">
        <f t="shared" si="126"/>
        <v>37487.969201154963</v>
      </c>
      <c r="DP47" s="355">
        <f t="shared" si="126"/>
        <v>14995.187680461982</v>
      </c>
      <c r="DQ47" s="355">
        <f t="shared" si="126"/>
        <v>11246.390760346487</v>
      </c>
      <c r="DR47" s="355">
        <f t="shared" si="126"/>
        <v>9371.9923002887408</v>
      </c>
      <c r="DS47" s="355">
        <f t="shared" si="126"/>
        <v>7497.5938402309912</v>
      </c>
      <c r="DT47" s="355">
        <f t="shared" si="126"/>
        <v>11996.150144369585</v>
      </c>
      <c r="DU47" s="355">
        <f t="shared" si="126"/>
        <v>11996.150144369585</v>
      </c>
      <c r="DV47" s="355">
        <f t="shared" si="126"/>
        <v>7497.5938402309912</v>
      </c>
      <c r="DW47" s="355">
        <f t="shared" si="126"/>
        <v>1499.5187680461981</v>
      </c>
      <c r="DX47" s="355">
        <f>SUM(DN47:DW47)</f>
        <v>121086.14051973051</v>
      </c>
      <c r="DY47" s="351">
        <f t="shared" ref="DY47:EH47" si="127">IF(DN47*$DC47&gt;CR47,CR47,DN47*$DC47)</f>
        <v>29990.375360923968</v>
      </c>
      <c r="DZ47" s="351">
        <f t="shared" si="127"/>
        <v>149951.87680461985</v>
      </c>
      <c r="EA47" s="351">
        <f t="shared" si="127"/>
        <v>59980.75072184793</v>
      </c>
      <c r="EB47" s="351">
        <f t="shared" si="127"/>
        <v>44985.563041385947</v>
      </c>
      <c r="EC47" s="351">
        <f t="shared" si="127"/>
        <v>37487.969201154963</v>
      </c>
      <c r="ED47" s="351">
        <f t="shared" si="127"/>
        <v>29990.375360923965</v>
      </c>
      <c r="EE47" s="351">
        <f t="shared" si="127"/>
        <v>47984.600577478341</v>
      </c>
      <c r="EF47" s="351">
        <f t="shared" si="127"/>
        <v>47984.600577478341</v>
      </c>
      <c r="EG47" s="351">
        <f t="shared" si="127"/>
        <v>29990.375360923965</v>
      </c>
      <c r="EH47" s="351">
        <f t="shared" si="127"/>
        <v>5998.0750721847926</v>
      </c>
      <c r="EI47" s="352">
        <f>SUM(DY47:EH47)</f>
        <v>484344.56207892206</v>
      </c>
      <c r="EJ47" s="355">
        <f t="shared" ref="EJ47:ES47" si="128">IF(DN47&lt;(CR47-DY47),DN47,(CR47-DY47))</f>
        <v>7497.5938402309921</v>
      </c>
      <c r="EK47" s="355">
        <f t="shared" si="128"/>
        <v>37487.969201154963</v>
      </c>
      <c r="EL47" s="355">
        <f t="shared" si="128"/>
        <v>14995.187680461982</v>
      </c>
      <c r="EM47" s="355">
        <f t="shared" si="128"/>
        <v>11246.390760346487</v>
      </c>
      <c r="EN47" s="355">
        <f t="shared" si="128"/>
        <v>9371.9923002887408</v>
      </c>
      <c r="EO47" s="355">
        <f t="shared" si="128"/>
        <v>7497.5938402309912</v>
      </c>
      <c r="EP47" s="355">
        <f t="shared" si="128"/>
        <v>11996.150144369585</v>
      </c>
      <c r="EQ47" s="355">
        <f t="shared" si="128"/>
        <v>11996.150144369585</v>
      </c>
      <c r="ER47" s="355">
        <f t="shared" si="128"/>
        <v>7497.5938402309912</v>
      </c>
      <c r="ES47" s="355">
        <f t="shared" si="128"/>
        <v>1499.5187680461981</v>
      </c>
      <c r="ET47" s="353">
        <f>SUM(EJ47:ES47)</f>
        <v>121086.14051973051</v>
      </c>
      <c r="EU47" s="358"/>
      <c r="EV47" s="358"/>
      <c r="EW47" s="358"/>
      <c r="EX47" s="358"/>
      <c r="EY47" s="358"/>
      <c r="EZ47" s="358"/>
      <c r="FA47" s="351"/>
    </row>
    <row r="48" spans="1:164" ht="60.5" customHeight="1" x14ac:dyDescent="0.3">
      <c r="A48" s="318"/>
      <c r="B48" s="318"/>
      <c r="C48" s="318"/>
      <c r="D48" s="318"/>
      <c r="E48" s="318"/>
      <c r="F48" s="318"/>
      <c r="G48" s="318"/>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c r="AF48" s="318"/>
      <c r="AG48" s="318"/>
      <c r="AH48" s="318"/>
      <c r="AI48" s="318"/>
      <c r="AJ48" s="318"/>
      <c r="AK48" s="318"/>
      <c r="AL48" s="318"/>
      <c r="AM48" s="317"/>
      <c r="AN48" s="318"/>
      <c r="AO48" s="511" t="e">
        <f t="shared" ref="AO48:AO49" si="129">EI48+EZ48</f>
        <v>#N/A</v>
      </c>
      <c r="AP48" s="511" t="e">
        <f t="shared" ref="AP48:AP49" si="130">AM48-AO48</f>
        <v>#N/A</v>
      </c>
      <c r="AQ48" s="511" t="e">
        <f t="shared" ref="AQ48:AQ49" si="131">ET48+FA48</f>
        <v>#N/A</v>
      </c>
      <c r="AR48" s="511" t="e">
        <f t="shared" ref="AR48:AR49" si="132">AP48-AQ48</f>
        <v>#N/A</v>
      </c>
      <c r="AS48" s="511" t="e">
        <f>HLOOKUP($C$1,'Inflation Adjustments'!$BI$3:$BT$4,2)*CQ48</f>
        <v>#N/A</v>
      </c>
      <c r="AT48" s="511">
        <f>IF(BU48="In Service",'Maintenace Cost Assumptions'!$B$3*AS48,0)</f>
        <v>0</v>
      </c>
      <c r="AU48" s="318"/>
      <c r="AV48" s="318"/>
      <c r="AW48" s="318"/>
      <c r="AX48" s="318"/>
      <c r="AY48" s="318"/>
      <c r="AZ48" s="318"/>
      <c r="BA48" s="318"/>
      <c r="BB48" s="318"/>
      <c r="BC48" s="318"/>
      <c r="BD48" s="318"/>
      <c r="BE48" s="318"/>
      <c r="BF48" s="318"/>
      <c r="BG48" s="332">
        <f>(AU48*'Condition rating weights'!H$8+AV48*'Condition rating weights'!I$8+AW48*'Condition rating weights'!J$8+AX48*'Condition rating weights'!K$8+AY48*'Condition rating weights'!L$8+AZ48*'Condition rating weights'!M$8+BA48*'Condition rating weights'!N$8+BB48*'Condition rating weights'!O$8+BC48*'Condition rating weights'!P$8+BD48*'Condition rating weights'!Q$8+BE48*'Condition rating weights'!R$8+BF48*'Condition rating weights'!S$8)/100</f>
        <v>0</v>
      </c>
      <c r="BH48" s="333"/>
      <c r="BI48" s="333"/>
      <c r="BJ48" s="333"/>
      <c r="BK48" s="333"/>
      <c r="BL48" s="333"/>
      <c r="BM48" s="333"/>
      <c r="BN48" s="333"/>
      <c r="BO48" s="333"/>
      <c r="BP48" s="333"/>
      <c r="BQ48" s="333"/>
      <c r="BR48" s="333"/>
      <c r="BS48" s="333"/>
      <c r="BT48" s="334"/>
      <c r="BU48" s="364"/>
      <c r="BV48" s="282"/>
      <c r="BW48" s="282"/>
      <c r="BX48" s="282"/>
      <c r="BY48" s="282"/>
      <c r="BZ48" s="282"/>
      <c r="CA48" s="282"/>
      <c r="CB48" s="282"/>
      <c r="CC48" s="282"/>
      <c r="CD48" s="282"/>
      <c r="CE48" s="282"/>
      <c r="CF48" s="282"/>
      <c r="CG48" s="351" t="e">
        <f t="shared" ref="CG48:CG49" si="133">(HLOOKUP(T48,$BY$4:$CB$14,2,TRUE))*$AE48</f>
        <v>#N/A</v>
      </c>
      <c r="CH48" s="351" t="e">
        <f t="shared" ref="CH48:CH49" si="134">(HLOOKUP(U48,$BY$4:$CC$14,3,TRUE))*$AE48</f>
        <v>#N/A</v>
      </c>
      <c r="CI48" s="351" t="e">
        <f t="shared" ref="CI48:CI49" si="135">(HLOOKUP(V48,$BY$4:$CC$14,4,TRUE))*$AE48/BH48</f>
        <v>#N/A</v>
      </c>
      <c r="CJ48" s="351" t="e">
        <f t="shared" ref="CJ48:CJ49" si="136">(HLOOKUP(W48,$BY$4:$CC$14,5,FALSE))*$AE48</f>
        <v>#N/A</v>
      </c>
      <c r="CK48" s="351" t="e">
        <f t="shared" ref="CK48:CK49" si="137">(HLOOKUP(X48,$BY$4:$CC$14,6,FALSE))*$AE48</f>
        <v>#N/A</v>
      </c>
      <c r="CL48" s="351" t="e">
        <f t="shared" ref="CL48:CL49" si="138">(HLOOKUP(Y48,$BY$4:$CC$14,7,FALSE))*$AE48</f>
        <v>#N/A</v>
      </c>
      <c r="CM48" s="351" t="e">
        <f t="shared" ref="CM48:CM49" si="139">(HLOOKUP(Z48,$BY$4:$CC$14,8,FALSE))*$AE48</f>
        <v>#N/A</v>
      </c>
      <c r="CN48" s="351" t="e">
        <f t="shared" ref="CN48:CN49" si="140">(HLOOKUP(AA48,$BY$4:$CC$14,9,FALSE))*$AE48</f>
        <v>#N/A</v>
      </c>
      <c r="CO48" s="351" t="e">
        <f t="shared" ref="CO48:CO49" si="141">(HLOOKUP(AB48,$BY$4:$CC$14,10,FALSE))*$AE48</f>
        <v>#N/A</v>
      </c>
      <c r="CP48" s="351" t="e">
        <f t="shared" ref="CP48:CP49" si="142">(HLOOKUP(AC48,$BY$4:$CC$14,11,FALSE))*$AE48</f>
        <v>#N/A</v>
      </c>
      <c r="CQ48" s="352" t="e">
        <f t="shared" ref="CQ48:CQ49" si="143">SUM(CG48:CP48)</f>
        <v>#N/A</v>
      </c>
      <c r="CR48" s="353" t="e">
        <f>(HLOOKUP($AI48,'Inflation Adjustments'!$B$3:$BT$4,2,TRUE))*CG48</f>
        <v>#N/A</v>
      </c>
      <c r="CS48" s="353" t="e">
        <f>(HLOOKUP($AI48,'Inflation Adjustments'!$B$3:$BT$4,2,TRUE))*CH48</f>
        <v>#N/A</v>
      </c>
      <c r="CT48" s="353" t="e">
        <f>(HLOOKUP($AI48,'Inflation Adjustments'!$B$3:$BT$4,2,TRUE))*CI48</f>
        <v>#N/A</v>
      </c>
      <c r="CU48" s="353" t="e">
        <f>(HLOOKUP($AI48,'Inflation Adjustments'!$B$3:$BT$4,2,TRUE))*CJ48</f>
        <v>#N/A</v>
      </c>
      <c r="CV48" s="353" t="e">
        <f>(HLOOKUP($AI48,'Inflation Adjustments'!$B$3:$BT$4,2,TRUE))*CK48</f>
        <v>#N/A</v>
      </c>
      <c r="CW48" s="353" t="e">
        <f>(HLOOKUP($AI48,'Inflation Adjustments'!$B$3:$BT$4,2,TRUE))*CL48</f>
        <v>#N/A</v>
      </c>
      <c r="CX48" s="353" t="e">
        <f>(HLOOKUP($AI48,'Inflation Adjustments'!$B$3:$BT$4,2,TRUE))*CM48</f>
        <v>#N/A</v>
      </c>
      <c r="CY48" s="353" t="e">
        <f>(HLOOKUP($AI48,'Inflation Adjustments'!$B$3:$BT$4,2,TRUE))*CN48</f>
        <v>#N/A</v>
      </c>
      <c r="CZ48" s="353" t="e">
        <f>(HLOOKUP($AI48,'Inflation Adjustments'!$B$3:$BT$4,2,TRUE))*CO48</f>
        <v>#N/A</v>
      </c>
      <c r="DA48" s="353" t="e">
        <f>(HLOOKUP($AI48,'Inflation Adjustments'!$B$3:$BT$4,2,TRUE))*CP48</f>
        <v>#N/A</v>
      </c>
      <c r="DB48" s="353" t="e">
        <f t="shared" ref="DB48:DB49" si="144">SUM(CR48:DA48)</f>
        <v>#N/A</v>
      </c>
      <c r="DC48" s="354">
        <f t="shared" ref="DC48:DC49" si="145">$C$1-AI48-1</f>
        <v>2022</v>
      </c>
      <c r="DD48" s="351" t="e">
        <f t="shared" ref="DD48:DD49" si="146">(HLOOKUP(T48,$CC$4:$CF$14,2,FALSE))</f>
        <v>#N/A</v>
      </c>
      <c r="DE48" s="351" t="e">
        <f t="shared" ref="DE48:DE49" si="147">(HLOOKUP(U48,$CC$4:$CF$14,3,FALSE))</f>
        <v>#N/A</v>
      </c>
      <c r="DF48" s="351" t="e">
        <f t="shared" ref="DF48:DF49" si="148">(HLOOKUP(V48,$CC$4:$CF$14,4,FALSE))</f>
        <v>#N/A</v>
      </c>
      <c r="DG48" s="351" t="e">
        <f t="shared" ref="DG48:DG49" si="149">(HLOOKUP(W48,$CC$4:$CF$14,5,FALSE))</f>
        <v>#N/A</v>
      </c>
      <c r="DH48" s="351" t="e">
        <f t="shared" ref="DH48:DH49" si="150">(HLOOKUP(X48,$CC$4:$CF$14,6,FALSE))</f>
        <v>#N/A</v>
      </c>
      <c r="DI48" s="351" t="e">
        <f t="shared" ref="DI48:DI49" si="151">(HLOOKUP(Y48,$CC$4:$CF$14,7,FALSE))</f>
        <v>#N/A</v>
      </c>
      <c r="DJ48" s="351" t="e">
        <f t="shared" ref="DJ48:DJ49" si="152">(HLOOKUP(Z48,$CC$4:$CF$14,8,FALSE))</f>
        <v>#N/A</v>
      </c>
      <c r="DK48" s="351" t="e">
        <f t="shared" ref="DK48:DK49" si="153">(HLOOKUP(AA48,$CC$4:$CF$14,8,FALSE))</f>
        <v>#N/A</v>
      </c>
      <c r="DL48" s="351" t="e">
        <f t="shared" ref="DL48:DL49" si="154">(HLOOKUP(AB48,$CC$4:$CF$14,9))</f>
        <v>#N/A</v>
      </c>
      <c r="DM48" s="351" t="e">
        <f t="shared" ref="DM48:DM49" si="155">(HLOOKUP(AC48,$CC$4:$CF$14,10))</f>
        <v>#N/A</v>
      </c>
      <c r="DN48" s="355" t="e">
        <f t="shared" ref="DN48:DN49" si="156">CR48/DD48</f>
        <v>#N/A</v>
      </c>
      <c r="DO48" s="355" t="e">
        <f t="shared" ref="DO48:DO49" si="157">CS48/DE48</f>
        <v>#N/A</v>
      </c>
      <c r="DP48" s="355" t="e">
        <f t="shared" ref="DP48:DP49" si="158">CT48/DF48</f>
        <v>#N/A</v>
      </c>
      <c r="DQ48" s="355" t="e">
        <f t="shared" ref="DQ48:DQ49" si="159">CU48/DG48</f>
        <v>#N/A</v>
      </c>
      <c r="DR48" s="355" t="e">
        <f t="shared" ref="DR48:DR49" si="160">CV48/DH48</f>
        <v>#N/A</v>
      </c>
      <c r="DS48" s="355" t="e">
        <f t="shared" ref="DS48:DS49" si="161">CW48/DI48</f>
        <v>#N/A</v>
      </c>
      <c r="DT48" s="355" t="e">
        <f t="shared" ref="DT48:DT49" si="162">CX48/DJ48</f>
        <v>#N/A</v>
      </c>
      <c r="DU48" s="355" t="e">
        <f t="shared" ref="DU48:DU49" si="163">CY48/DK48</f>
        <v>#N/A</v>
      </c>
      <c r="DV48" s="355" t="e">
        <f t="shared" ref="DV48:DV49" si="164">CZ48/DL48</f>
        <v>#N/A</v>
      </c>
      <c r="DW48" s="355" t="e">
        <f t="shared" ref="DW48:DW49" si="165">DA48/DM48</f>
        <v>#N/A</v>
      </c>
      <c r="DX48" s="355" t="e">
        <f t="shared" ref="DX48:DX49" si="166">SUM(DN48:DW48)</f>
        <v>#N/A</v>
      </c>
      <c r="DY48" s="351" t="e">
        <f t="shared" ref="DY48:DY49" si="167">IF(DN48*$DC48&gt;CR48,CR48,DN48*$DC48)</f>
        <v>#N/A</v>
      </c>
      <c r="DZ48" s="351" t="e">
        <f t="shared" ref="DZ48:DZ49" si="168">IF(DO48*$DC48&gt;CS48,CS48,DO48*$DC48)</f>
        <v>#N/A</v>
      </c>
      <c r="EA48" s="351" t="e">
        <f t="shared" ref="EA48:EA49" si="169">IF(DP48*$DC48&gt;CT48,CT48,DP48*$DC48)</f>
        <v>#N/A</v>
      </c>
      <c r="EB48" s="351" t="e">
        <f t="shared" ref="EB48:EB49" si="170">IF(DQ48*$DC48&gt;CU48,CU48,DQ48*$DC48)</f>
        <v>#N/A</v>
      </c>
      <c r="EC48" s="351" t="e">
        <f t="shared" ref="EC48:EC49" si="171">IF(DR48*$DC48&gt;CV48,CV48,DR48*$DC48)</f>
        <v>#N/A</v>
      </c>
      <c r="ED48" s="351" t="e">
        <f t="shared" ref="ED48:ED49" si="172">IF(DS48*$DC48&gt;CW48,CW48,DS48*$DC48)</f>
        <v>#N/A</v>
      </c>
      <c r="EE48" s="351" t="e">
        <f t="shared" ref="EE48:EE49" si="173">IF(DT48*$DC48&gt;CX48,CX48,DT48*$DC48)</f>
        <v>#N/A</v>
      </c>
      <c r="EF48" s="351" t="e">
        <f t="shared" ref="EF48:EF49" si="174">IF(DU48*$DC48&gt;CY48,CY48,DU48*$DC48)</f>
        <v>#N/A</v>
      </c>
      <c r="EG48" s="351" t="e">
        <f t="shared" ref="EG48:EG49" si="175">IF(DV48*$DC48&gt;CZ48,CZ48,DV48*$DC48)</f>
        <v>#N/A</v>
      </c>
      <c r="EH48" s="351" t="e">
        <f t="shared" ref="EH48:EH49" si="176">IF(DW48*$DC48&gt;DA48,DA48,DW48*$DC48)</f>
        <v>#N/A</v>
      </c>
      <c r="EI48" s="352" t="e">
        <f t="shared" ref="EI48:EI49" si="177">SUM(DY48:EH48)</f>
        <v>#N/A</v>
      </c>
      <c r="EJ48" s="355" t="e">
        <f t="shared" ref="EJ48:EJ49" si="178">IF(DN48&lt;(CR48-DY48),DN48,(CR48-DY48))</f>
        <v>#N/A</v>
      </c>
      <c r="EK48" s="355" t="e">
        <f t="shared" ref="EK48:EK49" si="179">IF(DO48&lt;(CS48-DZ48),DO48,(CS48-DZ48))</f>
        <v>#N/A</v>
      </c>
      <c r="EL48" s="355" t="e">
        <f t="shared" ref="EL48:EL49" si="180">IF(DP48&lt;(CT48-EA48),DP48,(CT48-EA48))</f>
        <v>#N/A</v>
      </c>
      <c r="EM48" s="355" t="e">
        <f t="shared" ref="EM48:EM49" si="181">IF(DQ48&lt;(CU48-EB48),DQ48,(CU48-EB48))</f>
        <v>#N/A</v>
      </c>
      <c r="EN48" s="355" t="e">
        <f t="shared" ref="EN48:EN49" si="182">IF(DR48&lt;(CV48-EC48),DR48,(CV48-EC48))</f>
        <v>#N/A</v>
      </c>
      <c r="EO48" s="355" t="e">
        <f t="shared" ref="EO48:EO49" si="183">IF(DS48&lt;(CW48-ED48),DS48,(CW48-ED48))</f>
        <v>#N/A</v>
      </c>
      <c r="EP48" s="355" t="e">
        <f t="shared" ref="EP48:EP49" si="184">IF(DT48&lt;(CX48-EE48),DT48,(CX48-EE48))</f>
        <v>#N/A</v>
      </c>
      <c r="EQ48" s="355" t="e">
        <f t="shared" ref="EQ48:EQ49" si="185">IF(DU48&lt;(CY48-EF48),DU48,(CY48-EF48))</f>
        <v>#N/A</v>
      </c>
      <c r="ER48" s="355" t="e">
        <f t="shared" ref="ER48:ER49" si="186">IF(DV48&lt;(CZ48-EG48),DV48,(CZ48-EG48))</f>
        <v>#N/A</v>
      </c>
      <c r="ES48" s="355" t="e">
        <f t="shared" ref="ES48:ES49" si="187">IF(DW48&lt;(DA48-EH48),DW48,(DA48-EH48))</f>
        <v>#N/A</v>
      </c>
      <c r="ET48" s="353" t="e">
        <f t="shared" ref="ET48:ET49" si="188">SUM(EJ48:ES48)</f>
        <v>#N/A</v>
      </c>
      <c r="EU48" s="358"/>
      <c r="EV48" s="358"/>
      <c r="EW48" s="358"/>
      <c r="EX48" s="358"/>
      <c r="EY48" s="358"/>
      <c r="EZ48" s="358"/>
      <c r="FA48" s="351"/>
    </row>
    <row r="49" spans="1:157" ht="60.5" customHeight="1" x14ac:dyDescent="0.3">
      <c r="A49" s="318"/>
      <c r="B49" s="318"/>
      <c r="C49" s="318"/>
      <c r="D49" s="318"/>
      <c r="E49" s="318"/>
      <c r="F49" s="318"/>
      <c r="G49" s="318"/>
      <c r="H49" s="318"/>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c r="AF49" s="318"/>
      <c r="AG49" s="318"/>
      <c r="AH49" s="318"/>
      <c r="AI49" s="318"/>
      <c r="AJ49" s="318"/>
      <c r="AK49" s="318"/>
      <c r="AL49" s="318"/>
      <c r="AM49" s="317"/>
      <c r="AN49" s="318"/>
      <c r="AO49" s="511" t="e">
        <f t="shared" si="129"/>
        <v>#N/A</v>
      </c>
      <c r="AP49" s="511" t="e">
        <f t="shared" si="130"/>
        <v>#N/A</v>
      </c>
      <c r="AQ49" s="511" t="e">
        <f t="shared" si="131"/>
        <v>#N/A</v>
      </c>
      <c r="AR49" s="511" t="e">
        <f t="shared" si="132"/>
        <v>#N/A</v>
      </c>
      <c r="AS49" s="511" t="e">
        <f>HLOOKUP($C$1,'Inflation Adjustments'!$BI$3:$BT$4,2)*CQ49</f>
        <v>#N/A</v>
      </c>
      <c r="AT49" s="511">
        <f>IF(BU49="In Service",'Maintenace Cost Assumptions'!$B$3*AS49,0)</f>
        <v>0</v>
      </c>
      <c r="AU49" s="318"/>
      <c r="AV49" s="318"/>
      <c r="AW49" s="318"/>
      <c r="AX49" s="318"/>
      <c r="AY49" s="318"/>
      <c r="AZ49" s="318"/>
      <c r="BA49" s="318"/>
      <c r="BB49" s="318"/>
      <c r="BC49" s="318"/>
      <c r="BD49" s="318"/>
      <c r="BE49" s="318"/>
      <c r="BF49" s="318"/>
      <c r="BG49" s="332">
        <f>(AU49*'Condition rating weights'!H$8+AV49*'Condition rating weights'!I$8+AW49*'Condition rating weights'!J$8+AX49*'Condition rating weights'!K$8+AY49*'Condition rating weights'!L$8+AZ49*'Condition rating weights'!M$8+BA49*'Condition rating weights'!N$8+BB49*'Condition rating weights'!O$8+BC49*'Condition rating weights'!P$8+BD49*'Condition rating weights'!Q$8+BE49*'Condition rating weights'!R$8+BF49*'Condition rating weights'!S$8)/100</f>
        <v>0</v>
      </c>
      <c r="BH49" s="333"/>
      <c r="BI49" s="333"/>
      <c r="BJ49" s="333"/>
      <c r="BK49" s="333"/>
      <c r="BL49" s="333"/>
      <c r="BM49" s="333"/>
      <c r="BN49" s="333"/>
      <c r="BO49" s="333"/>
      <c r="BP49" s="333"/>
      <c r="BQ49" s="333"/>
      <c r="BR49" s="333"/>
      <c r="BS49" s="333"/>
      <c r="BT49" s="334"/>
      <c r="BU49" s="364"/>
      <c r="BV49" s="282"/>
      <c r="BW49" s="282"/>
      <c r="BX49" s="282"/>
      <c r="BY49" s="282"/>
      <c r="BZ49" s="282"/>
      <c r="CA49" s="282"/>
      <c r="CB49" s="282"/>
      <c r="CC49" s="282"/>
      <c r="CD49" s="282"/>
      <c r="CE49" s="282"/>
      <c r="CF49" s="282"/>
      <c r="CG49" s="351" t="e">
        <f t="shared" si="133"/>
        <v>#N/A</v>
      </c>
      <c r="CH49" s="351" t="e">
        <f t="shared" si="134"/>
        <v>#N/A</v>
      </c>
      <c r="CI49" s="351" t="e">
        <f t="shared" si="135"/>
        <v>#N/A</v>
      </c>
      <c r="CJ49" s="351" t="e">
        <f t="shared" si="136"/>
        <v>#N/A</v>
      </c>
      <c r="CK49" s="351" t="e">
        <f t="shared" si="137"/>
        <v>#N/A</v>
      </c>
      <c r="CL49" s="351" t="e">
        <f t="shared" si="138"/>
        <v>#N/A</v>
      </c>
      <c r="CM49" s="351" t="e">
        <f t="shared" si="139"/>
        <v>#N/A</v>
      </c>
      <c r="CN49" s="351" t="e">
        <f t="shared" si="140"/>
        <v>#N/A</v>
      </c>
      <c r="CO49" s="351" t="e">
        <f t="shared" si="141"/>
        <v>#N/A</v>
      </c>
      <c r="CP49" s="351" t="e">
        <f t="shared" si="142"/>
        <v>#N/A</v>
      </c>
      <c r="CQ49" s="352" t="e">
        <f t="shared" si="143"/>
        <v>#N/A</v>
      </c>
      <c r="CR49" s="353" t="e">
        <f>(HLOOKUP($AI49,'Inflation Adjustments'!$B$3:$BT$4,2,TRUE))*CG49</f>
        <v>#N/A</v>
      </c>
      <c r="CS49" s="353" t="e">
        <f>(HLOOKUP($AI49,'Inflation Adjustments'!$B$3:$BT$4,2,TRUE))*CH49</f>
        <v>#N/A</v>
      </c>
      <c r="CT49" s="353" t="e">
        <f>(HLOOKUP($AI49,'Inflation Adjustments'!$B$3:$BT$4,2,TRUE))*CI49</f>
        <v>#N/A</v>
      </c>
      <c r="CU49" s="353" t="e">
        <f>(HLOOKUP($AI49,'Inflation Adjustments'!$B$3:$BT$4,2,TRUE))*CJ49</f>
        <v>#N/A</v>
      </c>
      <c r="CV49" s="353" t="e">
        <f>(HLOOKUP($AI49,'Inflation Adjustments'!$B$3:$BT$4,2,TRUE))*CK49</f>
        <v>#N/A</v>
      </c>
      <c r="CW49" s="353" t="e">
        <f>(HLOOKUP($AI49,'Inflation Adjustments'!$B$3:$BT$4,2,TRUE))*CL49</f>
        <v>#N/A</v>
      </c>
      <c r="CX49" s="353" t="e">
        <f>(HLOOKUP($AI49,'Inflation Adjustments'!$B$3:$BT$4,2,TRUE))*CM49</f>
        <v>#N/A</v>
      </c>
      <c r="CY49" s="353" t="e">
        <f>(HLOOKUP($AI49,'Inflation Adjustments'!$B$3:$BT$4,2,TRUE))*CN49</f>
        <v>#N/A</v>
      </c>
      <c r="CZ49" s="353" t="e">
        <f>(HLOOKUP($AI49,'Inflation Adjustments'!$B$3:$BT$4,2,TRUE))*CO49</f>
        <v>#N/A</v>
      </c>
      <c r="DA49" s="353" t="e">
        <f>(HLOOKUP($AI49,'Inflation Adjustments'!$B$3:$BT$4,2,TRUE))*CP49</f>
        <v>#N/A</v>
      </c>
      <c r="DB49" s="353" t="e">
        <f t="shared" si="144"/>
        <v>#N/A</v>
      </c>
      <c r="DC49" s="354">
        <f t="shared" si="145"/>
        <v>2022</v>
      </c>
      <c r="DD49" s="351" t="e">
        <f t="shared" si="146"/>
        <v>#N/A</v>
      </c>
      <c r="DE49" s="351" t="e">
        <f t="shared" si="147"/>
        <v>#N/A</v>
      </c>
      <c r="DF49" s="351" t="e">
        <f t="shared" si="148"/>
        <v>#N/A</v>
      </c>
      <c r="DG49" s="351" t="e">
        <f t="shared" si="149"/>
        <v>#N/A</v>
      </c>
      <c r="DH49" s="351" t="e">
        <f t="shared" si="150"/>
        <v>#N/A</v>
      </c>
      <c r="DI49" s="351" t="e">
        <f t="shared" si="151"/>
        <v>#N/A</v>
      </c>
      <c r="DJ49" s="351" t="e">
        <f t="shared" si="152"/>
        <v>#N/A</v>
      </c>
      <c r="DK49" s="351" t="e">
        <f t="shared" si="153"/>
        <v>#N/A</v>
      </c>
      <c r="DL49" s="351" t="e">
        <f t="shared" si="154"/>
        <v>#N/A</v>
      </c>
      <c r="DM49" s="351" t="e">
        <f t="shared" si="155"/>
        <v>#N/A</v>
      </c>
      <c r="DN49" s="355" t="e">
        <f t="shared" si="156"/>
        <v>#N/A</v>
      </c>
      <c r="DO49" s="355" t="e">
        <f t="shared" si="157"/>
        <v>#N/A</v>
      </c>
      <c r="DP49" s="355" t="e">
        <f t="shared" si="158"/>
        <v>#N/A</v>
      </c>
      <c r="DQ49" s="355" t="e">
        <f t="shared" si="159"/>
        <v>#N/A</v>
      </c>
      <c r="DR49" s="355" t="e">
        <f t="shared" si="160"/>
        <v>#N/A</v>
      </c>
      <c r="DS49" s="355" t="e">
        <f t="shared" si="161"/>
        <v>#N/A</v>
      </c>
      <c r="DT49" s="355" t="e">
        <f t="shared" si="162"/>
        <v>#N/A</v>
      </c>
      <c r="DU49" s="355" t="e">
        <f t="shared" si="163"/>
        <v>#N/A</v>
      </c>
      <c r="DV49" s="355" t="e">
        <f t="shared" si="164"/>
        <v>#N/A</v>
      </c>
      <c r="DW49" s="355" t="e">
        <f t="shared" si="165"/>
        <v>#N/A</v>
      </c>
      <c r="DX49" s="355" t="e">
        <f t="shared" si="166"/>
        <v>#N/A</v>
      </c>
      <c r="DY49" s="351" t="e">
        <f t="shared" si="167"/>
        <v>#N/A</v>
      </c>
      <c r="DZ49" s="351" t="e">
        <f t="shared" si="168"/>
        <v>#N/A</v>
      </c>
      <c r="EA49" s="351" t="e">
        <f t="shared" si="169"/>
        <v>#N/A</v>
      </c>
      <c r="EB49" s="351" t="e">
        <f t="shared" si="170"/>
        <v>#N/A</v>
      </c>
      <c r="EC49" s="351" t="e">
        <f t="shared" si="171"/>
        <v>#N/A</v>
      </c>
      <c r="ED49" s="351" t="e">
        <f t="shared" si="172"/>
        <v>#N/A</v>
      </c>
      <c r="EE49" s="351" t="e">
        <f t="shared" si="173"/>
        <v>#N/A</v>
      </c>
      <c r="EF49" s="351" t="e">
        <f t="shared" si="174"/>
        <v>#N/A</v>
      </c>
      <c r="EG49" s="351" t="e">
        <f t="shared" si="175"/>
        <v>#N/A</v>
      </c>
      <c r="EH49" s="351" t="e">
        <f t="shared" si="176"/>
        <v>#N/A</v>
      </c>
      <c r="EI49" s="352" t="e">
        <f t="shared" si="177"/>
        <v>#N/A</v>
      </c>
      <c r="EJ49" s="355" t="e">
        <f t="shared" si="178"/>
        <v>#N/A</v>
      </c>
      <c r="EK49" s="355" t="e">
        <f t="shared" si="179"/>
        <v>#N/A</v>
      </c>
      <c r="EL49" s="355" t="e">
        <f t="shared" si="180"/>
        <v>#N/A</v>
      </c>
      <c r="EM49" s="355" t="e">
        <f t="shared" si="181"/>
        <v>#N/A</v>
      </c>
      <c r="EN49" s="355" t="e">
        <f t="shared" si="182"/>
        <v>#N/A</v>
      </c>
      <c r="EO49" s="355" t="e">
        <f t="shared" si="183"/>
        <v>#N/A</v>
      </c>
      <c r="EP49" s="355" t="e">
        <f t="shared" si="184"/>
        <v>#N/A</v>
      </c>
      <c r="EQ49" s="355" t="e">
        <f t="shared" si="185"/>
        <v>#N/A</v>
      </c>
      <c r="ER49" s="355" t="e">
        <f t="shared" si="186"/>
        <v>#N/A</v>
      </c>
      <c r="ES49" s="355" t="e">
        <f t="shared" si="187"/>
        <v>#N/A</v>
      </c>
      <c r="ET49" s="353" t="e">
        <f t="shared" si="188"/>
        <v>#N/A</v>
      </c>
      <c r="EU49" s="358"/>
      <c r="EV49" s="358"/>
      <c r="EW49" s="358"/>
      <c r="EX49" s="358"/>
      <c r="EY49" s="358"/>
      <c r="EZ49" s="358"/>
      <c r="FA49" s="351"/>
    </row>
    <row r="50" spans="1:157" ht="39" customHeight="1" x14ac:dyDescent="0.3">
      <c r="A50" s="91"/>
      <c r="B50" s="91" t="s">
        <v>52</v>
      </c>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M50" s="508">
        <f>SUM(AM5:AM48)</f>
        <v>24490019.828506216</v>
      </c>
      <c r="AN50" s="508"/>
      <c r="AO50" s="508">
        <f>SUM(AO5:AO47)</f>
        <v>8395496.9249708634</v>
      </c>
      <c r="AP50" s="508">
        <f t="shared" ref="AP50:AT50" si="189">SUM(AP5:AP47)</f>
        <v>16094522.903535353</v>
      </c>
      <c r="AQ50" s="508">
        <f t="shared" si="189"/>
        <v>670935.82929047744</v>
      </c>
      <c r="AR50" s="508">
        <f t="shared" si="189"/>
        <v>15423587.074244875</v>
      </c>
      <c r="AS50" s="508">
        <f t="shared" si="189"/>
        <v>53417378.630437493</v>
      </c>
      <c r="AT50" s="508">
        <f t="shared" si="189"/>
        <v>267086.89315218746</v>
      </c>
      <c r="BU50" s="290"/>
    </row>
    <row r="51" spans="1:157" x14ac:dyDescent="0.3">
      <c r="A51" s="365"/>
      <c r="B51" s="365"/>
      <c r="C51" s="365"/>
      <c r="D51" s="365"/>
      <c r="E51" s="365"/>
      <c r="F51" s="365"/>
      <c r="G51" s="365"/>
      <c r="H51" s="365"/>
      <c r="I51" s="365"/>
      <c r="J51" s="365"/>
      <c r="K51" s="365"/>
      <c r="L51" s="365"/>
      <c r="M51" s="365"/>
      <c r="N51" s="365"/>
      <c r="O51" s="365"/>
      <c r="P51" s="365"/>
      <c r="Q51" s="365"/>
      <c r="R51" s="365"/>
      <c r="S51" s="365"/>
      <c r="T51" s="365"/>
      <c r="U51" s="365"/>
      <c r="V51" s="365"/>
      <c r="W51" s="365"/>
      <c r="X51" s="365"/>
      <c r="Y51" s="365"/>
      <c r="Z51" s="365"/>
      <c r="AA51" s="365"/>
      <c r="AB51" s="365"/>
      <c r="AC51" s="365"/>
      <c r="AD51" s="282"/>
      <c r="AE51" s="282"/>
      <c r="AF51" s="282"/>
      <c r="AG51" s="282"/>
      <c r="AH51" s="282"/>
      <c r="AI51" s="282"/>
      <c r="AJ51" s="282"/>
      <c r="AK51" s="282"/>
      <c r="AL51" s="282"/>
      <c r="AM51" s="366">
        <f>SUM(AM4:AM47)</f>
        <v>24490019.828506216</v>
      </c>
      <c r="AN51" s="282"/>
      <c r="AO51" s="366">
        <f>SUM(AO4:AO47)</f>
        <v>8395496.9249708634</v>
      </c>
      <c r="AP51" s="366">
        <f>SUM(AP4:AP47)</f>
        <v>16094522.903535353</v>
      </c>
      <c r="AQ51" s="282"/>
      <c r="AR51" s="282"/>
      <c r="AS51" s="366">
        <f>SUM(AS4:AS47)</f>
        <v>53417378.630437493</v>
      </c>
      <c r="AT51" s="366">
        <f>SUM(AT4:AT47)</f>
        <v>267086.89315218746</v>
      </c>
      <c r="AU51" s="282"/>
      <c r="AV51" s="282"/>
      <c r="AW51" s="282"/>
      <c r="AX51" s="282"/>
      <c r="AY51" s="282"/>
      <c r="AZ51" s="282"/>
      <c r="BA51" s="282"/>
      <c r="BB51" s="282"/>
      <c r="BC51" s="282"/>
      <c r="BD51" s="282"/>
      <c r="BE51" s="282"/>
      <c r="BF51" s="282"/>
      <c r="BG51" s="282"/>
      <c r="BH51" s="282"/>
      <c r="BI51" s="282"/>
      <c r="BJ51" s="282"/>
      <c r="BK51" s="282"/>
      <c r="BL51" s="282"/>
      <c r="BM51" s="282"/>
      <c r="BN51" s="282"/>
      <c r="BO51" s="282"/>
      <c r="BP51" s="282"/>
      <c r="BQ51" s="282"/>
      <c r="BR51" s="282"/>
      <c r="BS51" s="282"/>
      <c r="BT51" s="359"/>
      <c r="BU51" s="282"/>
      <c r="BV51" s="282"/>
      <c r="BW51" s="282"/>
      <c r="BX51" s="282"/>
      <c r="BY51" s="282"/>
      <c r="BZ51" s="282"/>
      <c r="CA51" s="282"/>
      <c r="CB51" s="282"/>
      <c r="CC51" s="282"/>
      <c r="CD51" s="282"/>
      <c r="CE51" s="282"/>
      <c r="CF51" s="282"/>
      <c r="CG51" s="282"/>
      <c r="CH51" s="282"/>
      <c r="CI51" s="282"/>
      <c r="CJ51" s="282"/>
      <c r="CK51" s="282"/>
      <c r="CL51" s="282"/>
      <c r="CM51" s="282"/>
      <c r="CN51" s="282"/>
      <c r="CO51" s="282"/>
      <c r="CP51" s="282"/>
      <c r="CQ51" s="282"/>
      <c r="CR51" s="282"/>
      <c r="CS51" s="282"/>
      <c r="CT51" s="282"/>
      <c r="CU51" s="282"/>
      <c r="CV51" s="282"/>
      <c r="CW51" s="282"/>
      <c r="CX51" s="282"/>
      <c r="CY51" s="282"/>
      <c r="CZ51" s="282"/>
      <c r="DA51" s="282"/>
      <c r="DB51" s="282"/>
      <c r="DC51" s="282"/>
      <c r="DD51" s="282"/>
      <c r="DE51" s="282"/>
      <c r="DF51" s="282"/>
      <c r="DG51" s="282"/>
      <c r="DH51" s="282"/>
      <c r="DI51" s="282"/>
      <c r="DJ51" s="282"/>
      <c r="DK51" s="282"/>
      <c r="DL51" s="282"/>
      <c r="DM51" s="282"/>
      <c r="DN51" s="282"/>
      <c r="DO51" s="282"/>
      <c r="DP51" s="282"/>
      <c r="DQ51" s="282"/>
      <c r="DR51" s="282"/>
      <c r="DS51" s="282"/>
      <c r="DT51" s="282"/>
      <c r="DU51" s="282"/>
      <c r="DV51" s="282"/>
      <c r="DW51" s="282"/>
      <c r="DX51" s="282"/>
      <c r="DY51" s="282"/>
      <c r="DZ51" s="282"/>
      <c r="EA51" s="282"/>
      <c r="EB51" s="282"/>
      <c r="EC51" s="282"/>
      <c r="ED51" s="282"/>
      <c r="EE51" s="282"/>
      <c r="EF51" s="282"/>
      <c r="EG51" s="282"/>
      <c r="EH51" s="282"/>
      <c r="EI51" s="282"/>
      <c r="EJ51" s="282"/>
      <c r="EK51" s="282"/>
      <c r="EL51" s="282"/>
      <c r="EM51" s="282"/>
      <c r="EN51" s="282"/>
      <c r="EO51" s="282"/>
      <c r="EP51" s="282"/>
      <c r="EQ51" s="282"/>
      <c r="ER51" s="282"/>
      <c r="ES51" s="282"/>
      <c r="ET51" s="282"/>
      <c r="EU51" s="282"/>
      <c r="EV51" s="282"/>
      <c r="EW51" s="282"/>
      <c r="EX51" s="282"/>
      <c r="EY51" s="282"/>
      <c r="EZ51" s="282"/>
      <c r="FA51" s="282"/>
    </row>
    <row r="52" spans="1:157" x14ac:dyDescent="0.3">
      <c r="A52" s="365"/>
      <c r="B52" s="365"/>
      <c r="C52" s="365"/>
      <c r="D52" s="365"/>
      <c r="E52" s="365"/>
      <c r="F52" s="365"/>
      <c r="G52" s="365"/>
      <c r="H52" s="365"/>
      <c r="I52" s="365"/>
      <c r="J52" s="365"/>
      <c r="K52" s="365"/>
      <c r="L52" s="365"/>
      <c r="M52" s="365"/>
      <c r="N52" s="365"/>
      <c r="O52" s="365"/>
      <c r="P52" s="365"/>
      <c r="Q52" s="365"/>
      <c r="R52" s="365"/>
      <c r="S52" s="365"/>
      <c r="T52" s="365"/>
      <c r="U52" s="365"/>
      <c r="V52" s="365"/>
      <c r="W52" s="365"/>
      <c r="X52" s="365"/>
      <c r="Y52" s="365"/>
      <c r="Z52" s="365"/>
      <c r="AA52" s="365"/>
      <c r="AB52" s="365"/>
      <c r="AC52" s="365"/>
      <c r="AD52" s="282"/>
      <c r="AE52" s="282"/>
      <c r="AF52" s="282"/>
      <c r="AG52" s="282"/>
      <c r="AH52" s="282"/>
      <c r="AI52" s="282"/>
      <c r="AJ52" s="282"/>
      <c r="AK52" s="282"/>
      <c r="AL52" s="282"/>
      <c r="AM52" s="282"/>
      <c r="AN52" s="282"/>
      <c r="AO52" s="282"/>
      <c r="AP52" s="282"/>
      <c r="AQ52" s="282" t="s">
        <v>52</v>
      </c>
      <c r="AR52" s="367" t="s">
        <v>1187</v>
      </c>
      <c r="AS52" s="368">
        <f>SUM(AS5:AS46)</f>
        <v>47184399.232687496</v>
      </c>
      <c r="AT52" s="368">
        <f>SUM(AT5:AT46)</f>
        <v>235921.99616343746</v>
      </c>
      <c r="AU52" s="282"/>
      <c r="AV52" s="282"/>
      <c r="AW52" s="282"/>
      <c r="AX52" s="282"/>
      <c r="AY52" s="282"/>
      <c r="AZ52" s="282"/>
      <c r="BA52" s="282"/>
      <c r="BB52" s="282"/>
      <c r="BC52" s="282"/>
      <c r="BD52" s="282"/>
      <c r="BE52" s="282"/>
      <c r="BF52" s="282"/>
      <c r="BG52" s="282"/>
      <c r="BH52" s="282"/>
      <c r="BI52" s="282"/>
      <c r="BJ52" s="282"/>
      <c r="BK52" s="282"/>
      <c r="BL52" s="282"/>
      <c r="BM52" s="282"/>
      <c r="BN52" s="282"/>
      <c r="BO52" s="282"/>
      <c r="BP52" s="282"/>
      <c r="BQ52" s="282"/>
      <c r="BR52" s="282"/>
      <c r="BS52" s="282"/>
      <c r="BT52" s="359"/>
      <c r="BU52" s="282"/>
      <c r="BV52" s="282"/>
      <c r="BW52" s="282"/>
      <c r="BX52" s="282"/>
      <c r="BY52" s="282"/>
      <c r="BZ52" s="282"/>
      <c r="CA52" s="282"/>
      <c r="CB52" s="282"/>
      <c r="CC52" s="282"/>
      <c r="CD52" s="282"/>
      <c r="CE52" s="282"/>
      <c r="CF52" s="282"/>
      <c r="CG52" s="282"/>
      <c r="CH52" s="282"/>
      <c r="CI52" s="282"/>
      <c r="CJ52" s="282"/>
      <c r="CK52" s="282"/>
      <c r="CL52" s="282"/>
      <c r="CM52" s="282"/>
      <c r="CN52" s="282"/>
      <c r="CO52" s="282"/>
      <c r="CP52" s="282"/>
      <c r="CQ52" s="282"/>
      <c r="CR52" s="282"/>
      <c r="CS52" s="282"/>
      <c r="CT52" s="282"/>
      <c r="CU52" s="282"/>
      <c r="CV52" s="282"/>
      <c r="CW52" s="282"/>
      <c r="CX52" s="282"/>
      <c r="CY52" s="282"/>
      <c r="CZ52" s="282"/>
      <c r="DA52" s="282"/>
      <c r="DB52" s="282"/>
      <c r="DC52" s="282"/>
      <c r="DD52" s="282"/>
      <c r="DE52" s="282"/>
      <c r="DF52" s="282"/>
      <c r="DG52" s="282"/>
      <c r="DH52" s="282"/>
      <c r="DI52" s="282"/>
      <c r="DJ52" s="282"/>
      <c r="DK52" s="282"/>
      <c r="DL52" s="282"/>
      <c r="DM52" s="282"/>
      <c r="DN52" s="282"/>
      <c r="DO52" s="282"/>
      <c r="DP52" s="282"/>
      <c r="DQ52" s="282"/>
      <c r="DR52" s="282"/>
      <c r="DS52" s="282"/>
      <c r="DT52" s="282"/>
      <c r="DU52" s="282"/>
      <c r="DV52" s="282"/>
      <c r="DW52" s="282"/>
      <c r="DX52" s="282"/>
      <c r="DY52" s="282"/>
      <c r="DZ52" s="282"/>
      <c r="EA52" s="282"/>
      <c r="EB52" s="282"/>
      <c r="EC52" s="282"/>
      <c r="ED52" s="282"/>
      <c r="EE52" s="282"/>
      <c r="EF52" s="282"/>
      <c r="EG52" s="282"/>
      <c r="EH52" s="282"/>
      <c r="EI52" s="282"/>
      <c r="EJ52" s="282"/>
      <c r="EK52" s="282"/>
      <c r="EL52" s="282"/>
      <c r="EM52" s="282"/>
      <c r="EN52" s="282"/>
      <c r="EO52" s="282"/>
      <c r="EP52" s="282"/>
      <c r="EQ52" s="282"/>
      <c r="ER52" s="282"/>
      <c r="ES52" s="282"/>
      <c r="ET52" s="282"/>
      <c r="EU52" s="282"/>
      <c r="EV52" s="282"/>
      <c r="EW52" s="282"/>
      <c r="EX52" s="282"/>
      <c r="EY52" s="282"/>
      <c r="EZ52" s="282"/>
      <c r="FA52" s="282"/>
    </row>
    <row r="53" spans="1:157" x14ac:dyDescent="0.3">
      <c r="A53" s="365"/>
      <c r="B53" s="365"/>
      <c r="C53" s="365"/>
      <c r="D53" s="365"/>
      <c r="E53" s="365"/>
      <c r="F53" s="365"/>
      <c r="G53" s="365"/>
      <c r="H53" s="365"/>
      <c r="I53" s="365"/>
      <c r="J53" s="365"/>
      <c r="K53" s="365"/>
      <c r="L53" s="365"/>
      <c r="M53" s="365"/>
      <c r="N53" s="365"/>
      <c r="O53" s="365"/>
      <c r="P53" s="365"/>
      <c r="Q53" s="365"/>
      <c r="R53" s="365"/>
      <c r="S53" s="365"/>
      <c r="T53" s="365"/>
      <c r="U53" s="365"/>
      <c r="V53" s="365"/>
      <c r="W53" s="365"/>
      <c r="X53" s="365"/>
      <c r="Y53" s="365"/>
      <c r="Z53" s="365"/>
      <c r="AA53" s="365"/>
      <c r="AB53" s="365"/>
      <c r="AC53" s="365"/>
      <c r="AD53" s="282"/>
      <c r="AE53" s="282"/>
      <c r="AF53" s="282"/>
      <c r="AG53" s="282"/>
      <c r="AH53" s="282"/>
      <c r="AI53" s="282"/>
      <c r="AJ53" s="282"/>
      <c r="AK53" s="282"/>
      <c r="AL53" s="282"/>
      <c r="AM53" s="282"/>
      <c r="AN53" s="282"/>
      <c r="AO53" s="282"/>
      <c r="AP53" s="282"/>
      <c r="AQ53" s="282"/>
      <c r="AR53" s="367" t="s">
        <v>1374</v>
      </c>
      <c r="AS53" s="368">
        <f>AS47:AT47</f>
        <v>6232979.3977499995</v>
      </c>
      <c r="AT53" s="368">
        <f>AT47:AU47</f>
        <v>31164.896988749999</v>
      </c>
      <c r="AU53" s="282"/>
      <c r="AV53" s="282"/>
      <c r="AW53" s="282"/>
      <c r="AX53" s="282"/>
      <c r="AY53" s="282"/>
      <c r="AZ53" s="282"/>
      <c r="BA53" s="282"/>
      <c r="BB53" s="282"/>
      <c r="BC53" s="282"/>
      <c r="BD53" s="282"/>
      <c r="BE53" s="282"/>
      <c r="BF53" s="282"/>
      <c r="BG53" s="282"/>
      <c r="BH53" s="282"/>
      <c r="BI53" s="282"/>
      <c r="BJ53" s="282"/>
      <c r="BK53" s="282"/>
      <c r="BL53" s="282"/>
      <c r="BM53" s="282"/>
      <c r="BN53" s="282"/>
      <c r="BO53" s="282"/>
      <c r="BP53" s="282"/>
      <c r="BQ53" s="282"/>
      <c r="BR53" s="282"/>
      <c r="BS53" s="282"/>
      <c r="BT53" s="359"/>
      <c r="BU53" s="282"/>
      <c r="BV53" s="282"/>
      <c r="BW53" s="282"/>
      <c r="BX53" s="282"/>
      <c r="BY53" s="282"/>
      <c r="BZ53" s="282"/>
      <c r="CA53" s="282"/>
      <c r="CB53" s="282"/>
      <c r="CC53" s="282"/>
      <c r="CD53" s="282"/>
      <c r="CE53" s="282"/>
      <c r="CF53" s="282"/>
      <c r="CG53" s="282"/>
      <c r="CH53" s="282"/>
      <c r="CI53" s="282"/>
      <c r="CJ53" s="282"/>
      <c r="CK53" s="282"/>
      <c r="CL53" s="282"/>
      <c r="CM53" s="282"/>
      <c r="CN53" s="282"/>
      <c r="CO53" s="282"/>
      <c r="CP53" s="282"/>
      <c r="CQ53" s="282"/>
      <c r="CR53" s="282"/>
      <c r="CS53" s="282"/>
      <c r="CT53" s="282"/>
      <c r="CU53" s="282"/>
      <c r="CV53" s="282"/>
      <c r="CW53" s="282"/>
      <c r="CX53" s="282"/>
      <c r="CY53" s="282"/>
      <c r="CZ53" s="282"/>
      <c r="DA53" s="282"/>
      <c r="DB53" s="282"/>
      <c r="DC53" s="282"/>
      <c r="DD53" s="282"/>
      <c r="DE53" s="282"/>
      <c r="DF53" s="282"/>
      <c r="DG53" s="282"/>
      <c r="DH53" s="282"/>
      <c r="DI53" s="282"/>
      <c r="DJ53" s="282"/>
      <c r="DK53" s="282"/>
      <c r="DL53" s="282"/>
      <c r="DM53" s="282"/>
      <c r="DN53" s="282"/>
      <c r="DO53" s="282"/>
      <c r="DP53" s="282"/>
      <c r="DQ53" s="282"/>
      <c r="DR53" s="282"/>
      <c r="DS53" s="282"/>
      <c r="DT53" s="282"/>
      <c r="DU53" s="282"/>
      <c r="DV53" s="282"/>
      <c r="DW53" s="282"/>
      <c r="DX53" s="282"/>
      <c r="DY53" s="282"/>
      <c r="DZ53" s="282"/>
      <c r="EA53" s="282"/>
      <c r="EB53" s="282"/>
      <c r="EC53" s="282"/>
      <c r="ED53" s="282"/>
      <c r="EE53" s="282"/>
      <c r="EF53" s="282"/>
      <c r="EG53" s="282"/>
      <c r="EH53" s="282"/>
      <c r="EI53" s="282"/>
      <c r="EJ53" s="282"/>
      <c r="EK53" s="282"/>
      <c r="EL53" s="282"/>
      <c r="EM53" s="282"/>
      <c r="EN53" s="282"/>
      <c r="EO53" s="282"/>
      <c r="EP53" s="282"/>
      <c r="EQ53" s="282"/>
      <c r="ER53" s="282"/>
      <c r="ES53" s="282"/>
      <c r="ET53" s="282"/>
      <c r="EU53" s="282"/>
      <c r="EV53" s="282"/>
      <c r="EW53" s="282"/>
      <c r="EX53" s="282"/>
      <c r="EY53" s="282"/>
      <c r="EZ53" s="282"/>
      <c r="FA53" s="282"/>
    </row>
    <row r="54" spans="1:157" x14ac:dyDescent="0.3">
      <c r="A54" s="365"/>
      <c r="B54" s="365"/>
      <c r="C54" s="365"/>
      <c r="D54" s="365"/>
      <c r="E54" s="365"/>
      <c r="F54" s="365"/>
      <c r="G54" s="365"/>
      <c r="H54" s="365"/>
      <c r="I54" s="365"/>
      <c r="J54" s="365"/>
      <c r="K54" s="365"/>
      <c r="L54" s="365"/>
      <c r="M54" s="365"/>
      <c r="N54" s="365"/>
      <c r="O54" s="365"/>
      <c r="P54" s="365"/>
      <c r="Q54" s="365"/>
      <c r="R54" s="365"/>
      <c r="S54" s="365"/>
      <c r="T54" s="365"/>
      <c r="U54" s="365"/>
      <c r="V54" s="365"/>
      <c r="W54" s="365"/>
      <c r="X54" s="365"/>
      <c r="Y54" s="365"/>
      <c r="Z54" s="365"/>
      <c r="AA54" s="365"/>
      <c r="AB54" s="365"/>
      <c r="AC54" s="365"/>
      <c r="AD54" s="282"/>
      <c r="AE54" s="282"/>
      <c r="AF54" s="282"/>
      <c r="AG54" s="282"/>
      <c r="AH54" s="282"/>
      <c r="AI54" s="282"/>
      <c r="AJ54" s="282"/>
      <c r="AK54" s="282"/>
      <c r="AL54" s="282"/>
      <c r="AM54" s="282"/>
      <c r="AN54" s="282"/>
      <c r="AO54" s="282"/>
      <c r="AP54" s="282"/>
      <c r="AQ54" s="282"/>
      <c r="AR54" s="282"/>
      <c r="AS54" s="282"/>
      <c r="AT54" s="282"/>
      <c r="AU54" s="282"/>
      <c r="AV54" s="282"/>
      <c r="AW54" s="282"/>
      <c r="AX54" s="282"/>
      <c r="AY54" s="282"/>
      <c r="AZ54" s="282"/>
      <c r="BA54" s="282"/>
      <c r="BB54" s="282"/>
      <c r="BC54" s="282"/>
      <c r="BD54" s="282"/>
      <c r="BE54" s="282"/>
      <c r="BF54" s="282"/>
      <c r="BG54" s="282">
        <f>COUNTIF(BG5:BG47,"&gt;85%")</f>
        <v>1</v>
      </c>
      <c r="BH54" s="282"/>
      <c r="BI54" s="282"/>
      <c r="BJ54" s="282"/>
      <c r="BK54" s="282"/>
      <c r="BL54" s="282"/>
      <c r="BM54" s="282"/>
      <c r="BN54" s="282"/>
      <c r="BO54" s="282"/>
      <c r="BP54" s="282"/>
      <c r="BQ54" s="282"/>
      <c r="BR54" s="282"/>
      <c r="BS54" s="282"/>
      <c r="BT54" s="359"/>
      <c r="BU54" s="282"/>
      <c r="BV54" s="282"/>
      <c r="BW54" s="282"/>
      <c r="BX54" s="282"/>
      <c r="BY54" s="282"/>
      <c r="BZ54" s="282"/>
      <c r="CA54" s="282"/>
      <c r="CB54" s="282"/>
      <c r="CC54" s="282"/>
      <c r="CD54" s="282"/>
      <c r="CE54" s="282"/>
      <c r="CF54" s="282"/>
      <c r="CG54" s="282"/>
      <c r="CH54" s="282"/>
      <c r="CI54" s="282"/>
      <c r="CJ54" s="282"/>
      <c r="CK54" s="282"/>
      <c r="CL54" s="282"/>
      <c r="CM54" s="282"/>
      <c r="CN54" s="282"/>
      <c r="CO54" s="282"/>
      <c r="CP54" s="282"/>
      <c r="CQ54" s="282"/>
      <c r="CR54" s="282"/>
      <c r="CS54" s="282"/>
      <c r="CT54" s="282"/>
      <c r="CU54" s="282"/>
      <c r="CV54" s="282"/>
      <c r="CW54" s="282"/>
      <c r="CX54" s="282"/>
      <c r="CY54" s="282"/>
      <c r="CZ54" s="282"/>
      <c r="DA54" s="282"/>
      <c r="DB54" s="282"/>
      <c r="DC54" s="282"/>
      <c r="DD54" s="282"/>
      <c r="DE54" s="282"/>
      <c r="DF54" s="282"/>
      <c r="DG54" s="282"/>
      <c r="DH54" s="282"/>
      <c r="DI54" s="282"/>
      <c r="DJ54" s="282"/>
      <c r="DK54" s="282"/>
      <c r="DL54" s="282"/>
      <c r="DM54" s="282"/>
      <c r="DN54" s="282"/>
      <c r="DO54" s="282"/>
      <c r="DP54" s="282"/>
      <c r="DQ54" s="282"/>
      <c r="DR54" s="282"/>
      <c r="DS54" s="282"/>
      <c r="DT54" s="282"/>
      <c r="DU54" s="282"/>
      <c r="DV54" s="282"/>
      <c r="DW54" s="282"/>
      <c r="DX54" s="282"/>
      <c r="DY54" s="282"/>
      <c r="DZ54" s="282"/>
      <c r="EA54" s="282"/>
      <c r="EB54" s="282"/>
      <c r="EC54" s="282"/>
      <c r="ED54" s="282"/>
      <c r="EE54" s="282"/>
      <c r="EF54" s="282"/>
      <c r="EG54" s="282"/>
      <c r="EH54" s="282"/>
      <c r="EI54" s="282"/>
      <c r="EJ54" s="282"/>
      <c r="EK54" s="282"/>
      <c r="EL54" s="282"/>
      <c r="EM54" s="282"/>
      <c r="EN54" s="282"/>
      <c r="EO54" s="282"/>
      <c r="EP54" s="282"/>
      <c r="EQ54" s="282"/>
      <c r="ER54" s="282"/>
      <c r="ES54" s="282"/>
      <c r="ET54" s="282"/>
      <c r="EU54" s="282"/>
      <c r="EV54" s="282"/>
      <c r="EW54" s="282"/>
      <c r="EX54" s="282"/>
      <c r="EY54" s="282"/>
      <c r="EZ54" s="282"/>
      <c r="FA54" s="282"/>
    </row>
    <row r="55" spans="1:157" x14ac:dyDescent="0.3">
      <c r="A55" s="365"/>
      <c r="B55" s="365"/>
      <c r="C55" s="365"/>
      <c r="D55" s="365"/>
      <c r="E55" s="365"/>
      <c r="F55" s="365"/>
      <c r="G55" s="365"/>
      <c r="H55" s="365"/>
      <c r="I55" s="365"/>
      <c r="J55" s="365"/>
      <c r="K55" s="365"/>
      <c r="L55" s="365"/>
      <c r="M55" s="365"/>
      <c r="N55" s="365"/>
      <c r="O55" s="365"/>
      <c r="P55" s="365"/>
      <c r="Q55" s="365"/>
      <c r="R55" s="365"/>
      <c r="S55" s="365"/>
      <c r="T55" s="365"/>
      <c r="U55" s="365"/>
      <c r="V55" s="365"/>
      <c r="W55" s="365"/>
      <c r="X55" s="365"/>
      <c r="Y55" s="365"/>
      <c r="Z55" s="365"/>
      <c r="AA55" s="365"/>
      <c r="AB55" s="365"/>
      <c r="AC55" s="365"/>
      <c r="AD55" s="282"/>
      <c r="AE55" s="282"/>
      <c r="AF55" s="282"/>
      <c r="AG55" s="282"/>
      <c r="AH55" s="282"/>
      <c r="AI55" s="282"/>
      <c r="AJ55" s="282"/>
      <c r="AK55" s="282"/>
      <c r="AL55" s="282"/>
      <c r="AM55" s="282"/>
      <c r="AN55" s="282"/>
      <c r="AO55" s="282"/>
      <c r="AP55" s="282"/>
      <c r="AQ55" s="282"/>
      <c r="AR55" s="282"/>
      <c r="AS55" s="282"/>
      <c r="AT55" s="282"/>
      <c r="AU55" s="282"/>
      <c r="AV55" s="282"/>
      <c r="AW55" s="282"/>
      <c r="AX55" s="282"/>
      <c r="AY55" s="282"/>
      <c r="AZ55" s="282"/>
      <c r="BA55" s="282"/>
      <c r="BB55" s="282"/>
      <c r="BC55" s="282"/>
      <c r="BD55" s="282"/>
      <c r="BE55" s="282"/>
      <c r="BF55" s="282"/>
      <c r="BG55" s="282">
        <f>COUNTIF(BG$5:BG$47,"&gt;70%")</f>
        <v>8</v>
      </c>
      <c r="BH55" s="282"/>
      <c r="BI55" s="282"/>
      <c r="BJ55" s="282"/>
      <c r="BK55" s="282"/>
      <c r="BL55" s="282"/>
      <c r="BM55" s="282"/>
      <c r="BN55" s="282"/>
      <c r="BO55" s="282"/>
      <c r="BP55" s="282"/>
      <c r="BQ55" s="282"/>
      <c r="BR55" s="282"/>
      <c r="BS55" s="282"/>
      <c r="BT55" s="359"/>
      <c r="BU55" s="282"/>
      <c r="BV55" s="282"/>
      <c r="BW55" s="282"/>
      <c r="BX55" s="282"/>
      <c r="BY55" s="282"/>
      <c r="BZ55" s="282"/>
      <c r="CA55" s="282"/>
      <c r="CB55" s="282"/>
      <c r="CC55" s="282"/>
      <c r="CD55" s="282"/>
      <c r="CE55" s="282"/>
      <c r="CF55" s="282"/>
      <c r="CG55" s="282"/>
      <c r="CH55" s="282"/>
      <c r="CI55" s="282"/>
      <c r="CJ55" s="282"/>
      <c r="CK55" s="282"/>
      <c r="CL55" s="282"/>
      <c r="CM55" s="282"/>
      <c r="CN55" s="282"/>
      <c r="CO55" s="282"/>
      <c r="CP55" s="282"/>
      <c r="CQ55" s="282"/>
      <c r="CR55" s="282"/>
      <c r="CS55" s="282"/>
      <c r="CT55" s="282"/>
      <c r="CU55" s="282"/>
      <c r="CV55" s="282"/>
      <c r="CW55" s="282"/>
      <c r="CX55" s="282"/>
      <c r="CY55" s="282"/>
      <c r="CZ55" s="282"/>
      <c r="DA55" s="282"/>
      <c r="DB55" s="282"/>
      <c r="DC55" s="282"/>
      <c r="DD55" s="282"/>
      <c r="DE55" s="282"/>
      <c r="DF55" s="282"/>
      <c r="DG55" s="282"/>
      <c r="DH55" s="282"/>
      <c r="DI55" s="282"/>
      <c r="DJ55" s="282"/>
      <c r="DK55" s="282"/>
      <c r="DL55" s="282"/>
      <c r="DM55" s="282"/>
      <c r="DN55" s="282"/>
      <c r="DO55" s="282"/>
      <c r="DP55" s="282"/>
      <c r="DQ55" s="282"/>
      <c r="DR55" s="282"/>
      <c r="DS55" s="282"/>
      <c r="DT55" s="282"/>
      <c r="DU55" s="282"/>
      <c r="DV55" s="282"/>
      <c r="DW55" s="282"/>
      <c r="DX55" s="282"/>
      <c r="DY55" s="282"/>
      <c r="DZ55" s="282"/>
      <c r="EA55" s="282"/>
      <c r="EB55" s="282"/>
      <c r="EC55" s="282"/>
      <c r="ED55" s="282"/>
      <c r="EE55" s="282"/>
      <c r="EF55" s="282"/>
      <c r="EG55" s="282"/>
      <c r="EH55" s="282"/>
      <c r="EI55" s="282"/>
      <c r="EJ55" s="282"/>
      <c r="EK55" s="282"/>
      <c r="EL55" s="282"/>
      <c r="EM55" s="282"/>
      <c r="EN55" s="282"/>
      <c r="EO55" s="282"/>
      <c r="EP55" s="282"/>
      <c r="EQ55" s="282"/>
      <c r="ER55" s="282"/>
      <c r="ES55" s="282"/>
      <c r="ET55" s="282"/>
      <c r="EU55" s="282"/>
      <c r="EV55" s="282"/>
      <c r="EW55" s="282"/>
      <c r="EX55" s="282"/>
      <c r="EY55" s="282"/>
      <c r="EZ55" s="282"/>
      <c r="FA55" s="282"/>
    </row>
    <row r="56" spans="1:157" x14ac:dyDescent="0.3">
      <c r="A56" s="365"/>
      <c r="B56" s="365"/>
      <c r="C56" s="365"/>
      <c r="D56" s="365"/>
      <c r="E56" s="365"/>
      <c r="F56" s="365"/>
      <c r="G56" s="365"/>
      <c r="H56" s="365"/>
      <c r="I56" s="365"/>
      <c r="J56" s="365"/>
      <c r="K56" s="365"/>
      <c r="L56" s="365"/>
      <c r="M56" s="365"/>
      <c r="N56" s="365"/>
      <c r="O56" s="365"/>
      <c r="P56" s="365"/>
      <c r="Q56" s="365"/>
      <c r="R56" s="365"/>
      <c r="S56" s="365"/>
      <c r="T56" s="365"/>
      <c r="U56" s="365"/>
      <c r="V56" s="365"/>
      <c r="W56" s="365"/>
      <c r="X56" s="365"/>
      <c r="Y56" s="365"/>
      <c r="Z56" s="365"/>
      <c r="AA56" s="365"/>
      <c r="AB56" s="365"/>
      <c r="AC56" s="365"/>
      <c r="AD56" s="282"/>
      <c r="AE56" s="282"/>
      <c r="AF56" s="282"/>
      <c r="AG56" s="282"/>
      <c r="AH56" s="282"/>
      <c r="AI56" s="282"/>
      <c r="AJ56" s="282"/>
      <c r="AK56" s="282"/>
      <c r="AL56" s="282"/>
      <c r="AM56" s="282"/>
      <c r="AN56" s="282"/>
      <c r="AO56" s="282"/>
      <c r="AP56" s="282"/>
      <c r="AQ56" s="282"/>
      <c r="AR56" s="282"/>
      <c r="AS56" s="282"/>
      <c r="AT56" s="282"/>
      <c r="AU56" s="282"/>
      <c r="AV56" s="282"/>
      <c r="AW56" s="282"/>
      <c r="AX56" s="282"/>
      <c r="AY56" s="282"/>
      <c r="AZ56" s="282"/>
      <c r="BA56" s="282"/>
      <c r="BB56" s="282"/>
      <c r="BC56" s="282"/>
      <c r="BD56" s="282"/>
      <c r="BE56" s="282"/>
      <c r="BF56" s="282"/>
      <c r="BG56" s="282">
        <f>COUNTIF(BG$5:BG$47,"&gt;50%")</f>
        <v>40</v>
      </c>
      <c r="BH56" s="282"/>
      <c r="BI56" s="282"/>
      <c r="BJ56" s="282"/>
      <c r="BK56" s="282"/>
      <c r="BL56" s="282"/>
      <c r="BM56" s="282"/>
      <c r="BN56" s="282"/>
      <c r="BO56" s="282"/>
      <c r="BP56" s="282"/>
      <c r="BQ56" s="282"/>
      <c r="BR56" s="282"/>
      <c r="BS56" s="282"/>
      <c r="BT56" s="359"/>
      <c r="BU56" s="282"/>
      <c r="BV56" s="282"/>
      <c r="BW56" s="282"/>
      <c r="BX56" s="282"/>
      <c r="BY56" s="282"/>
      <c r="BZ56" s="282"/>
      <c r="CA56" s="282"/>
      <c r="CB56" s="282"/>
      <c r="CC56" s="282"/>
      <c r="CD56" s="282"/>
      <c r="CE56" s="282"/>
      <c r="CF56" s="282"/>
      <c r="CG56" s="282"/>
      <c r="CH56" s="282"/>
      <c r="CI56" s="282"/>
      <c r="CJ56" s="282"/>
      <c r="CK56" s="282"/>
      <c r="CL56" s="282"/>
      <c r="CM56" s="282"/>
      <c r="CN56" s="282"/>
      <c r="CO56" s="282"/>
      <c r="CP56" s="282"/>
      <c r="CQ56" s="282"/>
      <c r="CR56" s="282"/>
      <c r="CS56" s="282"/>
      <c r="CT56" s="282"/>
      <c r="CU56" s="282"/>
      <c r="CV56" s="282"/>
      <c r="CW56" s="282"/>
      <c r="CX56" s="282"/>
      <c r="CY56" s="282"/>
      <c r="CZ56" s="282"/>
      <c r="DA56" s="282"/>
      <c r="DB56" s="282"/>
      <c r="DC56" s="282"/>
      <c r="DD56" s="282"/>
      <c r="DE56" s="282"/>
      <c r="DF56" s="282"/>
      <c r="DG56" s="282"/>
      <c r="DH56" s="282"/>
      <c r="DI56" s="282"/>
      <c r="DJ56" s="282"/>
      <c r="DK56" s="282"/>
      <c r="DL56" s="282"/>
      <c r="DM56" s="282"/>
      <c r="DN56" s="282"/>
      <c r="DO56" s="282"/>
      <c r="DP56" s="282"/>
      <c r="DQ56" s="282"/>
      <c r="DR56" s="282"/>
      <c r="DS56" s="282"/>
      <c r="DT56" s="282"/>
      <c r="DU56" s="282"/>
      <c r="DV56" s="282"/>
      <c r="DW56" s="282"/>
      <c r="DX56" s="282"/>
      <c r="DY56" s="282"/>
      <c r="DZ56" s="282"/>
      <c r="EA56" s="282"/>
      <c r="EB56" s="282"/>
      <c r="EC56" s="282"/>
      <c r="ED56" s="282"/>
      <c r="EE56" s="282"/>
      <c r="EF56" s="282"/>
      <c r="EG56" s="282"/>
      <c r="EH56" s="282"/>
      <c r="EI56" s="282"/>
      <c r="EJ56" s="282"/>
      <c r="EK56" s="282"/>
      <c r="EL56" s="282"/>
      <c r="EM56" s="282"/>
      <c r="EN56" s="282"/>
      <c r="EO56" s="282"/>
      <c r="EP56" s="282"/>
      <c r="EQ56" s="282"/>
      <c r="ER56" s="282"/>
      <c r="ES56" s="282"/>
      <c r="ET56" s="282"/>
      <c r="EU56" s="282"/>
      <c r="EV56" s="282"/>
      <c r="EW56" s="282"/>
      <c r="EX56" s="282"/>
      <c r="EY56" s="282"/>
      <c r="EZ56" s="282"/>
      <c r="FA56" s="282"/>
    </row>
    <row r="57" spans="1:157" x14ac:dyDescent="0.3">
      <c r="A57" s="365"/>
      <c r="B57" s="365"/>
      <c r="C57" s="365"/>
      <c r="D57" s="365"/>
      <c r="E57" s="365"/>
      <c r="F57" s="365"/>
      <c r="G57" s="365"/>
      <c r="H57" s="365"/>
      <c r="I57" s="365"/>
      <c r="J57" s="365"/>
      <c r="K57" s="365"/>
      <c r="L57" s="365"/>
      <c r="M57" s="365"/>
      <c r="N57" s="365"/>
      <c r="O57" s="365"/>
      <c r="P57" s="365"/>
      <c r="Q57" s="365"/>
      <c r="R57" s="365"/>
      <c r="S57" s="365"/>
      <c r="T57" s="365"/>
      <c r="U57" s="365"/>
      <c r="V57" s="365"/>
      <c r="W57" s="365"/>
      <c r="X57" s="365"/>
      <c r="Y57" s="365"/>
      <c r="Z57" s="365"/>
      <c r="AA57" s="365"/>
      <c r="AB57" s="365"/>
      <c r="AC57" s="365"/>
      <c r="AD57" s="282"/>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82"/>
      <c r="BC57" s="282"/>
      <c r="BD57" s="282"/>
      <c r="BE57" s="282"/>
      <c r="BF57" s="282"/>
      <c r="BG57" s="282">
        <f>COUNTIF(BG$5:BG$47,"&lt;50%")</f>
        <v>2</v>
      </c>
      <c r="BH57" s="282"/>
      <c r="BI57" s="282"/>
      <c r="BJ57" s="282"/>
      <c r="BK57" s="282"/>
      <c r="BL57" s="282"/>
      <c r="BM57" s="282"/>
      <c r="BN57" s="282"/>
      <c r="BO57" s="282"/>
      <c r="BP57" s="282"/>
      <c r="BQ57" s="282"/>
      <c r="BR57" s="282"/>
      <c r="BS57" s="282"/>
      <c r="BT57" s="359"/>
      <c r="BU57" s="282"/>
      <c r="BV57" s="282"/>
      <c r="BW57" s="282"/>
      <c r="BX57" s="282"/>
      <c r="BY57" s="282"/>
      <c r="BZ57" s="282"/>
      <c r="CA57" s="282"/>
      <c r="CB57" s="282"/>
      <c r="CC57" s="282"/>
      <c r="CD57" s="282"/>
      <c r="CE57" s="282"/>
      <c r="CF57" s="282"/>
      <c r="CG57" s="282"/>
      <c r="CH57" s="282"/>
      <c r="CI57" s="282"/>
      <c r="CJ57" s="282"/>
      <c r="CK57" s="282"/>
      <c r="CL57" s="282"/>
      <c r="CM57" s="282"/>
      <c r="CN57" s="282"/>
      <c r="CO57" s="282"/>
      <c r="CP57" s="282"/>
      <c r="CQ57" s="282"/>
      <c r="CR57" s="282"/>
      <c r="CS57" s="282"/>
      <c r="CT57" s="282"/>
      <c r="CU57" s="282"/>
      <c r="CV57" s="282"/>
      <c r="CW57" s="282"/>
      <c r="CX57" s="282"/>
      <c r="CY57" s="282"/>
      <c r="CZ57" s="282"/>
      <c r="DA57" s="282"/>
      <c r="DB57" s="282"/>
      <c r="DC57" s="282"/>
      <c r="DD57" s="282"/>
      <c r="DE57" s="282"/>
      <c r="DF57" s="282"/>
      <c r="DG57" s="282"/>
      <c r="DH57" s="282"/>
      <c r="DI57" s="282"/>
      <c r="DJ57" s="282"/>
      <c r="DK57" s="282"/>
      <c r="DL57" s="282"/>
      <c r="DM57" s="282"/>
      <c r="DN57" s="282"/>
      <c r="DO57" s="282"/>
      <c r="DP57" s="282"/>
      <c r="DQ57" s="282"/>
      <c r="DR57" s="282"/>
      <c r="DS57" s="282"/>
      <c r="DT57" s="282"/>
      <c r="DU57" s="282"/>
      <c r="DV57" s="282"/>
      <c r="DW57" s="282"/>
      <c r="DX57" s="282"/>
      <c r="DY57" s="282"/>
      <c r="DZ57" s="282"/>
      <c r="EA57" s="282"/>
      <c r="EB57" s="282"/>
      <c r="EC57" s="282"/>
      <c r="ED57" s="282"/>
      <c r="EE57" s="282"/>
      <c r="EF57" s="282"/>
      <c r="EG57" s="282"/>
      <c r="EH57" s="282"/>
      <c r="EI57" s="282"/>
      <c r="EJ57" s="282"/>
      <c r="EK57" s="282"/>
      <c r="EL57" s="282"/>
      <c r="EM57" s="282"/>
      <c r="EN57" s="282"/>
      <c r="EO57" s="282"/>
      <c r="EP57" s="282"/>
      <c r="EQ57" s="282"/>
      <c r="ER57" s="282"/>
      <c r="ES57" s="282"/>
      <c r="ET57" s="282"/>
      <c r="EU57" s="282"/>
      <c r="EV57" s="282"/>
      <c r="EW57" s="282"/>
      <c r="EX57" s="282"/>
      <c r="EY57" s="282"/>
      <c r="EZ57" s="282"/>
      <c r="FA57" s="282"/>
    </row>
    <row r="58" spans="1:157" x14ac:dyDescent="0.3">
      <c r="A58" s="365"/>
      <c r="B58" s="365"/>
      <c r="C58" s="365"/>
      <c r="D58" s="365"/>
      <c r="E58" s="365"/>
      <c r="F58" s="365"/>
      <c r="G58" s="365"/>
      <c r="H58" s="365"/>
      <c r="I58" s="365"/>
      <c r="J58" s="365"/>
      <c r="K58" s="365"/>
      <c r="L58" s="365"/>
      <c r="M58" s="365"/>
      <c r="N58" s="365"/>
      <c r="O58" s="365"/>
      <c r="P58" s="365"/>
      <c r="Q58" s="365"/>
      <c r="R58" s="365"/>
      <c r="S58" s="365"/>
      <c r="T58" s="365"/>
      <c r="U58" s="365"/>
      <c r="V58" s="365"/>
      <c r="W58" s="365"/>
      <c r="X58" s="365"/>
      <c r="Y58" s="365"/>
      <c r="Z58" s="365"/>
      <c r="AA58" s="365"/>
      <c r="AB58" s="365"/>
      <c r="AC58" s="365"/>
      <c r="AD58" s="282"/>
      <c r="AE58" s="282"/>
      <c r="AF58" s="282"/>
      <c r="AG58" s="282"/>
      <c r="AH58" s="282"/>
      <c r="AI58" s="282"/>
      <c r="AJ58" s="282"/>
      <c r="AK58" s="282"/>
      <c r="AL58" s="282"/>
      <c r="AM58" s="282"/>
      <c r="AN58" s="282"/>
      <c r="AO58" s="282"/>
      <c r="AP58" s="282"/>
      <c r="AQ58" s="282"/>
      <c r="AR58" s="282"/>
      <c r="AS58" s="282"/>
      <c r="AT58" s="282"/>
      <c r="AU58" s="282"/>
      <c r="AV58" s="282"/>
      <c r="AW58" s="282"/>
      <c r="AX58" s="282"/>
      <c r="AY58" s="282"/>
      <c r="AZ58" s="282"/>
      <c r="BA58" s="282"/>
      <c r="BB58" s="282"/>
      <c r="BC58" s="282"/>
      <c r="BD58" s="282"/>
      <c r="BE58" s="282" t="s">
        <v>1207</v>
      </c>
      <c r="BF58" s="282">
        <v>2</v>
      </c>
      <c r="BG58" s="282"/>
      <c r="BH58" s="282"/>
      <c r="BI58" s="282"/>
      <c r="BJ58" s="282"/>
      <c r="BK58" s="282"/>
      <c r="BL58" s="282"/>
      <c r="BM58" s="282"/>
      <c r="BN58" s="282"/>
      <c r="BO58" s="282"/>
      <c r="BP58" s="282"/>
      <c r="BQ58" s="282"/>
      <c r="BR58" s="282"/>
      <c r="BS58" s="282"/>
      <c r="BT58" s="359"/>
      <c r="BU58" s="282"/>
      <c r="BV58" s="282"/>
      <c r="BW58" s="282"/>
      <c r="BX58" s="282"/>
      <c r="BY58" s="282"/>
      <c r="BZ58" s="282"/>
      <c r="CA58" s="282"/>
      <c r="CB58" s="282"/>
      <c r="CC58" s="282"/>
      <c r="CD58" s="282"/>
      <c r="CE58" s="282"/>
      <c r="CF58" s="282"/>
      <c r="CG58" s="282"/>
      <c r="CH58" s="282"/>
      <c r="CI58" s="282"/>
      <c r="CJ58" s="282"/>
      <c r="CK58" s="282"/>
      <c r="CL58" s="282"/>
      <c r="CM58" s="282"/>
      <c r="CN58" s="282"/>
      <c r="CO58" s="282"/>
      <c r="CP58" s="282"/>
      <c r="CQ58" s="282"/>
      <c r="CR58" s="282"/>
      <c r="CS58" s="282"/>
      <c r="CT58" s="282"/>
      <c r="CU58" s="282"/>
      <c r="CV58" s="282"/>
      <c r="CW58" s="282"/>
      <c r="CX58" s="282"/>
      <c r="CY58" s="282"/>
      <c r="CZ58" s="282"/>
      <c r="DA58" s="282"/>
      <c r="DB58" s="282"/>
      <c r="DC58" s="282"/>
      <c r="DD58" s="282"/>
      <c r="DE58" s="282"/>
      <c r="DF58" s="282"/>
      <c r="DG58" s="282"/>
      <c r="DH58" s="282"/>
      <c r="DI58" s="282"/>
      <c r="DJ58" s="282"/>
      <c r="DK58" s="282"/>
      <c r="DL58" s="282"/>
      <c r="DM58" s="282"/>
      <c r="DN58" s="282"/>
      <c r="DO58" s="282"/>
      <c r="DP58" s="282"/>
      <c r="DQ58" s="282"/>
      <c r="DR58" s="282"/>
      <c r="DS58" s="282"/>
      <c r="DT58" s="282"/>
      <c r="DU58" s="282"/>
      <c r="DV58" s="282"/>
      <c r="DW58" s="282"/>
      <c r="DX58" s="282"/>
      <c r="DY58" s="282"/>
      <c r="DZ58" s="282"/>
      <c r="EA58" s="282"/>
      <c r="EB58" s="282"/>
      <c r="EC58" s="282"/>
      <c r="ED58" s="282"/>
      <c r="EE58" s="282"/>
      <c r="EF58" s="282"/>
      <c r="EG58" s="282"/>
      <c r="EH58" s="282"/>
      <c r="EI58" s="282"/>
      <c r="EJ58" s="282"/>
      <c r="EK58" s="282"/>
      <c r="EL58" s="282"/>
      <c r="EM58" s="282"/>
      <c r="EN58" s="282"/>
      <c r="EO58" s="282"/>
      <c r="EP58" s="282"/>
      <c r="EQ58" s="282"/>
      <c r="ER58" s="282"/>
      <c r="ES58" s="282"/>
      <c r="ET58" s="282"/>
      <c r="EU58" s="282"/>
      <c r="EV58" s="282"/>
      <c r="EW58" s="282"/>
      <c r="EX58" s="282"/>
      <c r="EY58" s="282"/>
      <c r="EZ58" s="282"/>
      <c r="FA58" s="282"/>
    </row>
    <row r="59" spans="1:157" x14ac:dyDescent="0.3">
      <c r="A59" s="365"/>
      <c r="B59" s="365"/>
      <c r="C59" s="365"/>
      <c r="D59" s="365"/>
      <c r="E59" s="365"/>
      <c r="F59" s="365"/>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c r="AD59" s="282"/>
      <c r="AE59" s="282"/>
      <c r="AF59" s="282"/>
      <c r="AG59" s="282"/>
      <c r="AH59" s="282"/>
      <c r="AI59" s="282"/>
      <c r="AJ59" s="282"/>
      <c r="AK59" s="282"/>
      <c r="AL59" s="282"/>
      <c r="AM59" s="282"/>
      <c r="AN59" s="282"/>
      <c r="AO59" s="282"/>
      <c r="AP59" s="282"/>
      <c r="AQ59" s="282"/>
      <c r="AR59" s="282"/>
      <c r="AS59" s="282"/>
      <c r="AT59" s="282"/>
      <c r="AU59" s="282"/>
      <c r="AV59" s="282"/>
      <c r="AW59" s="282"/>
      <c r="AX59" s="282"/>
      <c r="AY59" s="282"/>
      <c r="AZ59" s="282"/>
      <c r="BA59" s="282"/>
      <c r="BB59" s="282"/>
      <c r="BC59" s="282"/>
      <c r="BD59" s="282"/>
      <c r="BE59" s="282" t="s">
        <v>1208</v>
      </c>
      <c r="BF59" s="282">
        <v>7</v>
      </c>
      <c r="BG59" s="282"/>
      <c r="BH59" s="282"/>
      <c r="BI59" s="282"/>
      <c r="BJ59" s="282"/>
      <c r="BK59" s="282"/>
      <c r="BL59" s="282"/>
      <c r="BM59" s="282"/>
      <c r="BN59" s="282"/>
      <c r="BO59" s="282"/>
      <c r="BP59" s="282"/>
      <c r="BQ59" s="282"/>
      <c r="BR59" s="282"/>
      <c r="BS59" s="282"/>
      <c r="BT59" s="359"/>
      <c r="BU59" s="282"/>
      <c r="BV59" s="282"/>
      <c r="BW59" s="282"/>
      <c r="BX59" s="282"/>
      <c r="BY59" s="282"/>
      <c r="BZ59" s="282"/>
      <c r="CA59" s="282"/>
      <c r="CB59" s="282"/>
      <c r="CC59" s="282"/>
      <c r="CD59" s="282"/>
      <c r="CE59" s="282"/>
      <c r="CF59" s="282"/>
      <c r="CG59" s="282"/>
      <c r="CH59" s="282"/>
      <c r="CI59" s="282"/>
      <c r="CJ59" s="282"/>
      <c r="CK59" s="282"/>
      <c r="CL59" s="282"/>
      <c r="CM59" s="282"/>
      <c r="CN59" s="282"/>
      <c r="CO59" s="282"/>
      <c r="CP59" s="282"/>
      <c r="CQ59" s="282"/>
      <c r="CR59" s="282"/>
      <c r="CS59" s="282"/>
      <c r="CT59" s="282"/>
      <c r="CU59" s="282"/>
      <c r="CV59" s="282"/>
      <c r="CW59" s="282"/>
      <c r="CX59" s="282"/>
      <c r="CY59" s="282"/>
      <c r="CZ59" s="282"/>
      <c r="DA59" s="282"/>
      <c r="DB59" s="282"/>
      <c r="DC59" s="282"/>
      <c r="DD59" s="282"/>
      <c r="DE59" s="282"/>
      <c r="DF59" s="282"/>
      <c r="DG59" s="282"/>
      <c r="DH59" s="282"/>
      <c r="DI59" s="282"/>
      <c r="DJ59" s="282"/>
      <c r="DK59" s="282"/>
      <c r="DL59" s="282"/>
      <c r="DM59" s="282"/>
      <c r="DN59" s="282"/>
      <c r="DO59" s="282"/>
      <c r="DP59" s="282"/>
      <c r="DQ59" s="282"/>
      <c r="DR59" s="282"/>
      <c r="DS59" s="282"/>
      <c r="DT59" s="282"/>
      <c r="DU59" s="282"/>
      <c r="DV59" s="282"/>
      <c r="DW59" s="282"/>
      <c r="DX59" s="282"/>
      <c r="DY59" s="282"/>
      <c r="DZ59" s="282"/>
      <c r="EA59" s="282"/>
      <c r="EB59" s="282"/>
      <c r="EC59" s="282"/>
      <c r="ED59" s="282"/>
      <c r="EE59" s="282"/>
      <c r="EF59" s="282"/>
      <c r="EG59" s="282"/>
      <c r="EH59" s="282"/>
      <c r="EI59" s="282"/>
      <c r="EJ59" s="282"/>
      <c r="EK59" s="282"/>
      <c r="EL59" s="282"/>
      <c r="EM59" s="282"/>
      <c r="EN59" s="282"/>
      <c r="EO59" s="282"/>
      <c r="EP59" s="282"/>
      <c r="EQ59" s="282"/>
      <c r="ER59" s="282"/>
      <c r="ES59" s="282"/>
      <c r="ET59" s="282"/>
      <c r="EU59" s="282"/>
      <c r="EV59" s="282"/>
      <c r="EW59" s="282"/>
      <c r="EX59" s="282"/>
      <c r="EY59" s="282"/>
      <c r="EZ59" s="282"/>
      <c r="FA59" s="282"/>
    </row>
    <row r="60" spans="1:157" x14ac:dyDescent="0.3">
      <c r="A60" s="365"/>
      <c r="B60" s="365"/>
      <c r="C60" s="365"/>
      <c r="D60" s="365"/>
      <c r="E60" s="365"/>
      <c r="F60" s="365"/>
      <c r="G60" s="365"/>
      <c r="H60" s="365"/>
      <c r="I60" s="365"/>
      <c r="J60" s="365"/>
      <c r="K60" s="365"/>
      <c r="L60" s="365"/>
      <c r="M60" s="365"/>
      <c r="N60" s="365"/>
      <c r="O60" s="365"/>
      <c r="P60" s="365"/>
      <c r="Q60" s="365"/>
      <c r="R60" s="365"/>
      <c r="S60" s="365"/>
      <c r="T60" s="365"/>
      <c r="U60" s="365"/>
      <c r="V60" s="365"/>
      <c r="W60" s="365"/>
      <c r="X60" s="365"/>
      <c r="Y60" s="365"/>
      <c r="Z60" s="365"/>
      <c r="AA60" s="365"/>
      <c r="AB60" s="365"/>
      <c r="AC60" s="365"/>
      <c r="AD60" s="282"/>
      <c r="AE60" s="282"/>
      <c r="AF60" s="282"/>
      <c r="AG60" s="282"/>
      <c r="AH60" s="282"/>
      <c r="AI60" s="282"/>
      <c r="AJ60" s="282"/>
      <c r="AK60" s="282"/>
      <c r="AL60" s="282"/>
      <c r="AM60" s="282"/>
      <c r="AN60" s="282"/>
      <c r="AO60" s="282"/>
      <c r="AP60" s="282"/>
      <c r="AQ60" s="282"/>
      <c r="AR60" s="282"/>
      <c r="AS60" s="282"/>
      <c r="AT60" s="282"/>
      <c r="AU60" s="282"/>
      <c r="AV60" s="282"/>
      <c r="AW60" s="282"/>
      <c r="AX60" s="282"/>
      <c r="AY60" s="282"/>
      <c r="AZ60" s="282"/>
      <c r="BA60" s="282"/>
      <c r="BB60" s="282"/>
      <c r="BC60" s="282"/>
      <c r="BD60" s="282"/>
      <c r="BE60" s="282" t="s">
        <v>1209</v>
      </c>
      <c r="BF60" s="282">
        <v>30</v>
      </c>
      <c r="BG60" s="282"/>
      <c r="BH60" s="282"/>
      <c r="BI60" s="282"/>
      <c r="BJ60" s="282"/>
      <c r="BK60" s="282"/>
      <c r="BL60" s="282"/>
      <c r="BM60" s="282"/>
      <c r="BN60" s="282"/>
      <c r="BO60" s="282"/>
      <c r="BP60" s="282"/>
      <c r="BQ60" s="282"/>
      <c r="BR60" s="282"/>
      <c r="BS60" s="282"/>
      <c r="BT60" s="359"/>
      <c r="BU60" s="282"/>
      <c r="BV60" s="282"/>
      <c r="BW60" s="282"/>
      <c r="BX60" s="282"/>
      <c r="BY60" s="282"/>
      <c r="BZ60" s="282"/>
      <c r="CA60" s="282"/>
      <c r="CB60" s="282"/>
      <c r="CC60" s="282"/>
      <c r="CD60" s="282"/>
      <c r="CE60" s="282"/>
      <c r="CF60" s="282"/>
      <c r="CG60" s="282"/>
      <c r="CH60" s="282"/>
      <c r="CI60" s="282"/>
      <c r="CJ60" s="282"/>
      <c r="CK60" s="282"/>
      <c r="CL60" s="282"/>
      <c r="CM60" s="282"/>
      <c r="CN60" s="282"/>
      <c r="CO60" s="282"/>
      <c r="CP60" s="282"/>
      <c r="CQ60" s="282"/>
      <c r="CR60" s="282"/>
      <c r="CS60" s="282"/>
      <c r="CT60" s="282"/>
      <c r="CU60" s="282"/>
      <c r="CV60" s="282"/>
      <c r="CW60" s="282"/>
      <c r="CX60" s="282"/>
      <c r="CY60" s="282"/>
      <c r="CZ60" s="282"/>
      <c r="DA60" s="282"/>
      <c r="DB60" s="282"/>
      <c r="DC60" s="282"/>
      <c r="DD60" s="282"/>
      <c r="DE60" s="282"/>
      <c r="DF60" s="282"/>
      <c r="DG60" s="282"/>
      <c r="DH60" s="282"/>
      <c r="DI60" s="282"/>
      <c r="DJ60" s="282"/>
      <c r="DK60" s="282"/>
      <c r="DL60" s="282"/>
      <c r="DM60" s="282"/>
      <c r="DN60" s="282"/>
      <c r="DO60" s="282"/>
      <c r="DP60" s="282"/>
      <c r="DQ60" s="282"/>
      <c r="DR60" s="282"/>
      <c r="DS60" s="282"/>
      <c r="DT60" s="282"/>
      <c r="DU60" s="282"/>
      <c r="DV60" s="282"/>
      <c r="DW60" s="282"/>
      <c r="DX60" s="282"/>
      <c r="DY60" s="282"/>
      <c r="DZ60" s="282"/>
      <c r="EA60" s="282"/>
      <c r="EB60" s="282"/>
      <c r="EC60" s="282"/>
      <c r="ED60" s="282"/>
      <c r="EE60" s="282"/>
      <c r="EF60" s="282"/>
      <c r="EG60" s="282"/>
      <c r="EH60" s="282"/>
      <c r="EI60" s="282"/>
      <c r="EJ60" s="282"/>
      <c r="EK60" s="282"/>
      <c r="EL60" s="282"/>
      <c r="EM60" s="282"/>
      <c r="EN60" s="282"/>
      <c r="EO60" s="282"/>
      <c r="EP60" s="282"/>
      <c r="EQ60" s="282"/>
      <c r="ER60" s="282"/>
      <c r="ES60" s="282"/>
      <c r="ET60" s="282"/>
      <c r="EU60" s="282"/>
      <c r="EV60" s="282"/>
      <c r="EW60" s="282"/>
      <c r="EX60" s="282"/>
      <c r="EY60" s="282"/>
      <c r="EZ60" s="282"/>
      <c r="FA60" s="282"/>
    </row>
    <row r="61" spans="1:157" x14ac:dyDescent="0.3">
      <c r="A61" s="365"/>
      <c r="B61" s="365"/>
      <c r="C61" s="365"/>
      <c r="D61" s="365"/>
      <c r="E61" s="365"/>
      <c r="F61" s="365"/>
      <c r="G61" s="365"/>
      <c r="H61" s="365"/>
      <c r="I61" s="365"/>
      <c r="J61" s="365"/>
      <c r="K61" s="365"/>
      <c r="L61" s="365"/>
      <c r="M61" s="365"/>
      <c r="N61" s="365"/>
      <c r="O61" s="365"/>
      <c r="P61" s="365"/>
      <c r="Q61" s="365"/>
      <c r="R61" s="365"/>
      <c r="S61" s="365"/>
      <c r="T61" s="365"/>
      <c r="U61" s="365"/>
      <c r="V61" s="365"/>
      <c r="W61" s="365"/>
      <c r="X61" s="365"/>
      <c r="Y61" s="365"/>
      <c r="Z61" s="365"/>
      <c r="AA61" s="365"/>
      <c r="AB61" s="365"/>
      <c r="AC61" s="365"/>
      <c r="AD61" s="282"/>
      <c r="AE61" s="282"/>
      <c r="AF61" s="282"/>
      <c r="AG61" s="282"/>
      <c r="AH61" s="282"/>
      <c r="AI61" s="282"/>
      <c r="AJ61" s="282"/>
      <c r="AK61" s="282"/>
      <c r="AL61" s="282"/>
      <c r="AM61" s="282"/>
      <c r="AN61" s="282"/>
      <c r="AO61" s="282"/>
      <c r="AP61" s="282"/>
      <c r="AQ61" s="282"/>
      <c r="AR61" s="282"/>
      <c r="AS61" s="282"/>
      <c r="AT61" s="282"/>
      <c r="AU61" s="282"/>
      <c r="AV61" s="282"/>
      <c r="AW61" s="282"/>
      <c r="AX61" s="282"/>
      <c r="AY61" s="282"/>
      <c r="AZ61" s="282"/>
      <c r="BA61" s="282"/>
      <c r="BB61" s="282"/>
      <c r="BC61" s="282"/>
      <c r="BD61" s="282"/>
      <c r="BE61" s="282" t="s">
        <v>1210</v>
      </c>
      <c r="BF61" s="282">
        <v>2</v>
      </c>
      <c r="BG61" s="282"/>
      <c r="BH61" s="282"/>
      <c r="BI61" s="282"/>
      <c r="BJ61" s="282"/>
      <c r="BK61" s="282"/>
      <c r="BL61" s="282"/>
      <c r="BM61" s="282"/>
      <c r="BN61" s="282"/>
      <c r="BO61" s="282"/>
      <c r="BP61" s="282"/>
      <c r="BQ61" s="282"/>
      <c r="BR61" s="282"/>
      <c r="BS61" s="282"/>
      <c r="BT61" s="359"/>
      <c r="BU61" s="282"/>
      <c r="BV61" s="282"/>
      <c r="BW61" s="282"/>
      <c r="BX61" s="282"/>
      <c r="BY61" s="282"/>
      <c r="BZ61" s="282"/>
      <c r="CA61" s="282"/>
      <c r="CB61" s="282"/>
      <c r="CC61" s="282"/>
      <c r="CD61" s="282"/>
      <c r="CE61" s="282"/>
      <c r="CF61" s="282"/>
      <c r="CG61" s="282"/>
      <c r="CH61" s="282"/>
      <c r="CI61" s="282"/>
      <c r="CJ61" s="282"/>
      <c r="CK61" s="282"/>
      <c r="CL61" s="282"/>
      <c r="CM61" s="282"/>
      <c r="CN61" s="282"/>
      <c r="CO61" s="282"/>
      <c r="CP61" s="282"/>
      <c r="CQ61" s="282"/>
      <c r="CR61" s="282"/>
      <c r="CS61" s="282"/>
      <c r="CT61" s="282"/>
      <c r="CU61" s="282"/>
      <c r="CV61" s="282"/>
      <c r="CW61" s="282"/>
      <c r="CX61" s="282"/>
      <c r="CY61" s="282"/>
      <c r="CZ61" s="282"/>
      <c r="DA61" s="282"/>
      <c r="DB61" s="282"/>
      <c r="DC61" s="282"/>
      <c r="DD61" s="282"/>
      <c r="DE61" s="282"/>
      <c r="DF61" s="282"/>
      <c r="DG61" s="282"/>
      <c r="DH61" s="282"/>
      <c r="DI61" s="282"/>
      <c r="DJ61" s="282"/>
      <c r="DK61" s="282"/>
      <c r="DL61" s="282"/>
      <c r="DM61" s="282"/>
      <c r="DN61" s="282"/>
      <c r="DO61" s="282"/>
      <c r="DP61" s="282"/>
      <c r="DQ61" s="282"/>
      <c r="DR61" s="282"/>
      <c r="DS61" s="282"/>
      <c r="DT61" s="282"/>
      <c r="DU61" s="282"/>
      <c r="DV61" s="282"/>
      <c r="DW61" s="282"/>
      <c r="DX61" s="282"/>
      <c r="DY61" s="282"/>
      <c r="DZ61" s="282"/>
      <c r="EA61" s="282"/>
      <c r="EB61" s="282"/>
      <c r="EC61" s="282"/>
      <c r="ED61" s="282"/>
      <c r="EE61" s="282"/>
      <c r="EF61" s="282"/>
      <c r="EG61" s="282"/>
      <c r="EH61" s="282"/>
      <c r="EI61" s="282"/>
      <c r="EJ61" s="282"/>
      <c r="EK61" s="282"/>
      <c r="EL61" s="282"/>
      <c r="EM61" s="282"/>
      <c r="EN61" s="282"/>
      <c r="EO61" s="282"/>
      <c r="EP61" s="282"/>
      <c r="EQ61" s="282"/>
      <c r="ER61" s="282"/>
      <c r="ES61" s="282"/>
      <c r="ET61" s="282"/>
      <c r="EU61" s="282"/>
      <c r="EV61" s="282"/>
      <c r="EW61" s="282"/>
      <c r="EX61" s="282"/>
      <c r="EY61" s="282"/>
      <c r="EZ61" s="282"/>
      <c r="FA61" s="282"/>
    </row>
    <row r="62" spans="1:157" x14ac:dyDescent="0.3">
      <c r="A62" s="365"/>
      <c r="B62" s="365"/>
      <c r="C62" s="365"/>
      <c r="D62" s="365"/>
      <c r="E62" s="365"/>
      <c r="F62" s="365"/>
      <c r="G62" s="365"/>
      <c r="H62" s="365"/>
      <c r="I62" s="365"/>
      <c r="J62" s="365"/>
      <c r="K62" s="365"/>
      <c r="L62" s="365"/>
      <c r="M62" s="365"/>
      <c r="N62" s="365"/>
      <c r="O62" s="365"/>
      <c r="P62" s="365"/>
      <c r="Q62" s="365"/>
      <c r="R62" s="365"/>
      <c r="S62" s="365"/>
      <c r="T62" s="365"/>
      <c r="U62" s="365"/>
      <c r="V62" s="365"/>
      <c r="W62" s="365"/>
      <c r="X62" s="365"/>
      <c r="Y62" s="365"/>
      <c r="Z62" s="365"/>
      <c r="AA62" s="365"/>
      <c r="AB62" s="365"/>
      <c r="AC62" s="365"/>
      <c r="AD62" s="282"/>
      <c r="AE62" s="282"/>
      <c r="AF62" s="282"/>
      <c r="AG62" s="282"/>
      <c r="AH62" s="282"/>
      <c r="AI62" s="282"/>
      <c r="AJ62" s="282"/>
      <c r="AK62" s="282"/>
      <c r="AL62" s="282"/>
      <c r="AM62" s="282"/>
      <c r="AN62" s="282"/>
      <c r="AO62" s="282"/>
      <c r="AP62" s="282"/>
      <c r="AQ62" s="282"/>
      <c r="AR62" s="282"/>
      <c r="AS62" s="282"/>
      <c r="AT62" s="282"/>
      <c r="AU62" s="282"/>
      <c r="AV62" s="282"/>
      <c r="AW62" s="282"/>
      <c r="AX62" s="282"/>
      <c r="AY62" s="282"/>
      <c r="AZ62" s="282"/>
      <c r="BA62" s="282"/>
      <c r="BB62" s="282"/>
      <c r="BC62" s="282"/>
      <c r="BD62" s="282"/>
      <c r="BE62" s="282"/>
      <c r="BF62" s="282"/>
      <c r="BG62" s="282"/>
      <c r="BH62" s="282"/>
      <c r="BI62" s="282"/>
      <c r="BJ62" s="282"/>
      <c r="BK62" s="282"/>
      <c r="BL62" s="282"/>
      <c r="BM62" s="282"/>
      <c r="BN62" s="282"/>
      <c r="BO62" s="282"/>
      <c r="BP62" s="282"/>
      <c r="BQ62" s="282"/>
      <c r="BR62" s="282"/>
      <c r="BS62" s="282"/>
      <c r="BT62" s="359"/>
      <c r="BU62" s="282"/>
      <c r="BV62" s="282"/>
      <c r="BW62" s="282"/>
      <c r="BX62" s="282"/>
      <c r="BY62" s="282"/>
      <c r="BZ62" s="282"/>
      <c r="CA62" s="282"/>
      <c r="CB62" s="282"/>
      <c r="CC62" s="282"/>
      <c r="CD62" s="282"/>
      <c r="CE62" s="282"/>
      <c r="CF62" s="282"/>
      <c r="CG62" s="282"/>
      <c r="CH62" s="282"/>
      <c r="CI62" s="282"/>
      <c r="CJ62" s="282"/>
      <c r="CK62" s="282"/>
      <c r="CL62" s="282"/>
      <c r="CM62" s="282"/>
      <c r="CN62" s="282"/>
      <c r="CO62" s="282"/>
      <c r="CP62" s="282"/>
      <c r="CQ62" s="282"/>
      <c r="CR62" s="282"/>
      <c r="CS62" s="282"/>
      <c r="CT62" s="282"/>
      <c r="CU62" s="282"/>
      <c r="CV62" s="282"/>
      <c r="CW62" s="282"/>
      <c r="CX62" s="282"/>
      <c r="CY62" s="282"/>
      <c r="CZ62" s="282"/>
      <c r="DA62" s="282"/>
      <c r="DB62" s="282"/>
      <c r="DC62" s="282"/>
      <c r="DD62" s="282"/>
      <c r="DE62" s="282"/>
      <c r="DF62" s="282"/>
      <c r="DG62" s="282"/>
      <c r="DH62" s="282"/>
      <c r="DI62" s="282"/>
      <c r="DJ62" s="282"/>
      <c r="DK62" s="282"/>
      <c r="DL62" s="282"/>
      <c r="DM62" s="282"/>
      <c r="DN62" s="282"/>
      <c r="DO62" s="282"/>
      <c r="DP62" s="282"/>
      <c r="DQ62" s="282"/>
      <c r="DR62" s="282"/>
      <c r="DS62" s="282"/>
      <c r="DT62" s="282"/>
      <c r="DU62" s="282"/>
      <c r="DV62" s="282"/>
      <c r="DW62" s="282"/>
      <c r="DX62" s="282"/>
      <c r="DY62" s="282"/>
      <c r="DZ62" s="282"/>
      <c r="EA62" s="282"/>
      <c r="EB62" s="282"/>
      <c r="EC62" s="282"/>
      <c r="ED62" s="282"/>
      <c r="EE62" s="282"/>
      <c r="EF62" s="282"/>
      <c r="EG62" s="282"/>
      <c r="EH62" s="282"/>
      <c r="EI62" s="282"/>
      <c r="EJ62" s="282"/>
      <c r="EK62" s="282"/>
      <c r="EL62" s="282"/>
      <c r="EM62" s="282"/>
      <c r="EN62" s="282"/>
      <c r="EO62" s="282"/>
      <c r="EP62" s="282"/>
      <c r="EQ62" s="282"/>
      <c r="ER62" s="282"/>
      <c r="ES62" s="282"/>
      <c r="ET62" s="282"/>
      <c r="EU62" s="282"/>
      <c r="EV62" s="282"/>
      <c r="EW62" s="282"/>
      <c r="EX62" s="282"/>
      <c r="EY62" s="282"/>
      <c r="EZ62" s="282"/>
      <c r="FA62" s="282"/>
    </row>
    <row r="63" spans="1:157" x14ac:dyDescent="0.3">
      <c r="A63" s="365"/>
      <c r="B63" s="365"/>
      <c r="C63" s="365"/>
      <c r="D63" s="365"/>
      <c r="E63" s="365"/>
      <c r="F63" s="365"/>
      <c r="G63" s="365"/>
      <c r="H63" s="365"/>
      <c r="I63" s="365"/>
      <c r="J63" s="365"/>
      <c r="K63" s="365"/>
      <c r="L63" s="365"/>
      <c r="M63" s="365"/>
      <c r="N63" s="365"/>
      <c r="O63" s="365"/>
      <c r="P63" s="365"/>
      <c r="Q63" s="365"/>
      <c r="R63" s="365"/>
      <c r="S63" s="365"/>
      <c r="T63" s="365"/>
      <c r="U63" s="365"/>
      <c r="V63" s="365"/>
      <c r="W63" s="365"/>
      <c r="X63" s="365"/>
      <c r="Y63" s="365"/>
      <c r="Z63" s="365"/>
      <c r="AA63" s="365"/>
      <c r="AB63" s="365"/>
      <c r="AC63" s="365"/>
      <c r="AD63" s="282"/>
      <c r="AE63" s="282"/>
      <c r="AF63" s="282"/>
      <c r="AG63" s="282"/>
      <c r="AH63" s="282"/>
      <c r="AI63" s="282"/>
      <c r="AJ63" s="282"/>
      <c r="AK63" s="282"/>
      <c r="AL63" s="282"/>
      <c r="AM63" s="282"/>
      <c r="AN63" s="282"/>
      <c r="AO63" s="282"/>
      <c r="AP63" s="282"/>
      <c r="AQ63" s="282"/>
      <c r="AR63" s="282"/>
      <c r="AS63" s="282"/>
      <c r="AT63" s="282"/>
      <c r="AU63" s="282"/>
      <c r="AV63" s="282"/>
      <c r="AW63" s="282"/>
      <c r="AX63" s="282"/>
      <c r="AY63" s="282"/>
      <c r="AZ63" s="282"/>
      <c r="BA63" s="282"/>
      <c r="BB63" s="282"/>
      <c r="BC63" s="282"/>
      <c r="BD63" s="282"/>
      <c r="BE63" s="282"/>
      <c r="BF63" s="282"/>
      <c r="BG63" s="282"/>
      <c r="BH63" s="282"/>
      <c r="BI63" s="282"/>
      <c r="BJ63" s="282"/>
      <c r="BK63" s="282"/>
      <c r="BL63" s="282"/>
      <c r="BM63" s="282"/>
      <c r="BN63" s="282"/>
      <c r="BO63" s="282"/>
      <c r="BP63" s="282"/>
      <c r="BQ63" s="282"/>
      <c r="BR63" s="282"/>
      <c r="BS63" s="282"/>
      <c r="BT63" s="359"/>
      <c r="BU63" s="282"/>
      <c r="BV63" s="282"/>
      <c r="BW63" s="282"/>
      <c r="BX63" s="282"/>
      <c r="BY63" s="282"/>
      <c r="BZ63" s="282"/>
      <c r="CA63" s="282"/>
      <c r="CB63" s="282"/>
      <c r="CC63" s="282"/>
      <c r="CD63" s="282"/>
      <c r="CE63" s="282"/>
      <c r="CF63" s="282"/>
      <c r="CG63" s="282"/>
      <c r="CH63" s="282"/>
      <c r="CI63" s="282"/>
      <c r="CJ63" s="282"/>
      <c r="CK63" s="282"/>
      <c r="CL63" s="282"/>
      <c r="CM63" s="282"/>
      <c r="CN63" s="282"/>
      <c r="CO63" s="282"/>
      <c r="CP63" s="282"/>
      <c r="CQ63" s="282"/>
      <c r="CR63" s="282"/>
      <c r="CS63" s="282"/>
      <c r="CT63" s="282"/>
      <c r="CU63" s="282"/>
      <c r="CV63" s="282"/>
      <c r="CW63" s="282"/>
      <c r="CX63" s="282"/>
      <c r="CY63" s="282"/>
      <c r="CZ63" s="282"/>
      <c r="DA63" s="282"/>
      <c r="DB63" s="282"/>
      <c r="DC63" s="282"/>
      <c r="DD63" s="282"/>
      <c r="DE63" s="282"/>
      <c r="DF63" s="282"/>
      <c r="DG63" s="282"/>
      <c r="DH63" s="282"/>
      <c r="DI63" s="282"/>
      <c r="DJ63" s="282"/>
      <c r="DK63" s="282"/>
      <c r="DL63" s="282"/>
      <c r="DM63" s="282"/>
      <c r="DN63" s="282"/>
      <c r="DO63" s="282"/>
      <c r="DP63" s="282"/>
      <c r="DQ63" s="282"/>
      <c r="DR63" s="282"/>
      <c r="DS63" s="282"/>
      <c r="DT63" s="282"/>
      <c r="DU63" s="282"/>
      <c r="DV63" s="282"/>
      <c r="DW63" s="282"/>
      <c r="DX63" s="282"/>
      <c r="DY63" s="282"/>
      <c r="DZ63" s="282"/>
      <c r="EA63" s="282"/>
      <c r="EB63" s="282"/>
      <c r="EC63" s="282"/>
      <c r="ED63" s="282"/>
      <c r="EE63" s="282"/>
      <c r="EF63" s="282"/>
      <c r="EG63" s="282"/>
      <c r="EH63" s="282"/>
      <c r="EI63" s="282"/>
      <c r="EJ63" s="282"/>
      <c r="EK63" s="282"/>
      <c r="EL63" s="282"/>
      <c r="EM63" s="282"/>
      <c r="EN63" s="282"/>
      <c r="EO63" s="282"/>
      <c r="EP63" s="282"/>
      <c r="EQ63" s="282"/>
      <c r="ER63" s="282"/>
      <c r="ES63" s="282"/>
      <c r="ET63" s="282"/>
      <c r="EU63" s="282"/>
      <c r="EV63" s="282"/>
      <c r="EW63" s="282"/>
      <c r="EX63" s="282"/>
      <c r="EY63" s="282"/>
      <c r="EZ63" s="282"/>
      <c r="FA63" s="282"/>
    </row>
    <row r="64" spans="1:157" x14ac:dyDescent="0.3">
      <c r="A64" s="365"/>
      <c r="B64" s="365"/>
      <c r="C64" s="365"/>
      <c r="D64" s="365"/>
      <c r="E64" s="365"/>
      <c r="F64" s="365"/>
      <c r="G64" s="365"/>
      <c r="H64" s="365"/>
      <c r="I64" s="365"/>
      <c r="J64" s="365"/>
      <c r="K64" s="365"/>
      <c r="L64" s="365"/>
      <c r="M64" s="365"/>
      <c r="N64" s="365"/>
      <c r="O64" s="365"/>
      <c r="P64" s="365"/>
      <c r="Q64" s="365"/>
      <c r="R64" s="365"/>
      <c r="S64" s="365"/>
      <c r="T64" s="365"/>
      <c r="U64" s="365"/>
      <c r="V64" s="365"/>
      <c r="W64" s="365"/>
      <c r="X64" s="365"/>
      <c r="Y64" s="365"/>
      <c r="Z64" s="365"/>
      <c r="AA64" s="365"/>
      <c r="AB64" s="365"/>
      <c r="AC64" s="365"/>
      <c r="AD64" s="282"/>
      <c r="AE64" s="282"/>
      <c r="AF64" s="282"/>
      <c r="AG64" s="282"/>
      <c r="AH64" s="282"/>
      <c r="AI64" s="282"/>
      <c r="AJ64" s="282"/>
      <c r="AK64" s="282"/>
      <c r="AL64" s="282"/>
      <c r="AM64" s="282"/>
      <c r="AN64" s="282"/>
      <c r="AO64" s="282"/>
      <c r="AP64" s="282"/>
      <c r="AQ64" s="282"/>
      <c r="AR64" s="282"/>
      <c r="AS64" s="282"/>
      <c r="AT64" s="282"/>
      <c r="AU64" s="282"/>
      <c r="AV64" s="282"/>
      <c r="AW64" s="282"/>
      <c r="AX64" s="282"/>
      <c r="AY64" s="282"/>
      <c r="AZ64" s="282"/>
      <c r="BA64" s="282"/>
      <c r="BB64" s="282"/>
      <c r="BC64" s="282"/>
      <c r="BD64" s="282"/>
      <c r="BE64" s="282"/>
      <c r="BF64" s="282"/>
      <c r="BG64" s="282"/>
      <c r="BH64" s="282"/>
      <c r="BI64" s="282"/>
      <c r="BJ64" s="282"/>
      <c r="BK64" s="282"/>
      <c r="BL64" s="282"/>
      <c r="BM64" s="282"/>
      <c r="BN64" s="282"/>
      <c r="BO64" s="282"/>
      <c r="BP64" s="282"/>
      <c r="BQ64" s="282"/>
      <c r="BR64" s="282"/>
      <c r="BS64" s="282"/>
      <c r="BT64" s="359"/>
      <c r="BU64" s="282"/>
      <c r="BV64" s="282"/>
      <c r="BW64" s="282"/>
      <c r="BX64" s="282"/>
      <c r="BY64" s="282"/>
      <c r="BZ64" s="282"/>
      <c r="CA64" s="282"/>
      <c r="CB64" s="282"/>
      <c r="CC64" s="282"/>
      <c r="CD64" s="282"/>
      <c r="CE64" s="282"/>
      <c r="CF64" s="282"/>
      <c r="CG64" s="282"/>
      <c r="CH64" s="282"/>
      <c r="CI64" s="282"/>
      <c r="CJ64" s="282"/>
      <c r="CK64" s="282"/>
      <c r="CL64" s="282"/>
      <c r="CM64" s="282"/>
      <c r="CN64" s="282"/>
      <c r="CO64" s="282"/>
      <c r="CP64" s="282"/>
      <c r="CQ64" s="282"/>
      <c r="CR64" s="282"/>
      <c r="CS64" s="282"/>
      <c r="CT64" s="282"/>
      <c r="CU64" s="282"/>
      <c r="CV64" s="282"/>
      <c r="CW64" s="282"/>
      <c r="CX64" s="282"/>
      <c r="CY64" s="282"/>
      <c r="CZ64" s="282"/>
      <c r="DA64" s="282"/>
      <c r="DB64" s="282"/>
      <c r="DC64" s="282"/>
      <c r="DD64" s="282"/>
      <c r="DE64" s="282"/>
      <c r="DF64" s="282"/>
      <c r="DG64" s="282"/>
      <c r="DH64" s="282"/>
      <c r="DI64" s="282"/>
      <c r="DJ64" s="282"/>
      <c r="DK64" s="282"/>
      <c r="DL64" s="282"/>
      <c r="DM64" s="282"/>
      <c r="DN64" s="282"/>
      <c r="DO64" s="282"/>
      <c r="DP64" s="282"/>
      <c r="DQ64" s="282"/>
      <c r="DR64" s="282"/>
      <c r="DS64" s="282"/>
      <c r="DT64" s="282"/>
      <c r="DU64" s="282"/>
      <c r="DV64" s="282"/>
      <c r="DW64" s="282"/>
      <c r="DX64" s="282"/>
      <c r="DY64" s="282"/>
      <c r="DZ64" s="282"/>
      <c r="EA64" s="282"/>
      <c r="EB64" s="282"/>
      <c r="EC64" s="282"/>
      <c r="ED64" s="282"/>
      <c r="EE64" s="282"/>
      <c r="EF64" s="282"/>
      <c r="EG64" s="282"/>
      <c r="EH64" s="282"/>
      <c r="EI64" s="282"/>
      <c r="EJ64" s="282"/>
      <c r="EK64" s="282"/>
      <c r="EL64" s="282"/>
      <c r="EM64" s="282"/>
      <c r="EN64" s="282"/>
      <c r="EO64" s="282"/>
      <c r="EP64" s="282"/>
      <c r="EQ64" s="282"/>
      <c r="ER64" s="282"/>
      <c r="ES64" s="282"/>
      <c r="ET64" s="282"/>
      <c r="EU64" s="282"/>
      <c r="EV64" s="282"/>
      <c r="EW64" s="282"/>
      <c r="EX64" s="282"/>
      <c r="EY64" s="282"/>
      <c r="EZ64" s="282"/>
      <c r="FA64" s="282"/>
    </row>
    <row r="65" spans="1:157" x14ac:dyDescent="0.3">
      <c r="A65" s="365"/>
      <c r="B65" s="365"/>
      <c r="C65" s="365"/>
      <c r="D65" s="365"/>
      <c r="E65" s="365"/>
      <c r="F65" s="365"/>
      <c r="G65" s="365"/>
      <c r="H65" s="365"/>
      <c r="I65" s="365"/>
      <c r="J65" s="365"/>
      <c r="K65" s="365"/>
      <c r="L65" s="365"/>
      <c r="M65" s="365"/>
      <c r="N65" s="365"/>
      <c r="O65" s="365"/>
      <c r="P65" s="365"/>
      <c r="Q65" s="365"/>
      <c r="R65" s="365"/>
      <c r="S65" s="365"/>
      <c r="T65" s="365"/>
      <c r="U65" s="365"/>
      <c r="V65" s="365"/>
      <c r="W65" s="365"/>
      <c r="X65" s="365"/>
      <c r="Y65" s="365"/>
      <c r="Z65" s="365"/>
      <c r="AA65" s="365"/>
      <c r="AB65" s="365"/>
      <c r="AC65" s="365"/>
      <c r="AD65" s="282"/>
      <c r="AE65" s="282"/>
      <c r="AF65" s="282"/>
      <c r="AG65" s="282"/>
      <c r="AH65" s="282"/>
      <c r="AI65" s="282"/>
      <c r="AJ65" s="282"/>
      <c r="AK65" s="282"/>
      <c r="AL65" s="282"/>
      <c r="AM65" s="282"/>
      <c r="AN65" s="282"/>
      <c r="AO65" s="282"/>
      <c r="AP65" s="282"/>
      <c r="AQ65" s="282"/>
      <c r="AR65" s="282"/>
      <c r="AS65" s="282"/>
      <c r="AT65" s="282"/>
      <c r="AU65" s="282"/>
      <c r="AV65" s="282"/>
      <c r="AW65" s="282"/>
      <c r="AX65" s="282"/>
      <c r="AY65" s="282"/>
      <c r="AZ65" s="282"/>
      <c r="BA65" s="282"/>
      <c r="BB65" s="282"/>
      <c r="BC65" s="282"/>
      <c r="BD65" s="282"/>
      <c r="BE65" s="282"/>
      <c r="BF65" s="282"/>
      <c r="BG65" s="282"/>
      <c r="BH65" s="282"/>
      <c r="BI65" s="282"/>
      <c r="BJ65" s="282"/>
      <c r="BK65" s="282"/>
      <c r="BL65" s="282"/>
      <c r="BM65" s="282"/>
      <c r="BN65" s="282"/>
      <c r="BO65" s="282"/>
      <c r="BP65" s="282"/>
      <c r="BQ65" s="282"/>
      <c r="BR65" s="282"/>
      <c r="BS65" s="282"/>
      <c r="BT65" s="359"/>
      <c r="BU65" s="282"/>
      <c r="BV65" s="282"/>
      <c r="BW65" s="282"/>
      <c r="BX65" s="282"/>
      <c r="BY65" s="282"/>
      <c r="BZ65" s="282"/>
      <c r="CA65" s="282"/>
      <c r="CB65" s="282"/>
      <c r="CC65" s="282"/>
      <c r="CD65" s="282"/>
      <c r="CE65" s="282"/>
      <c r="CF65" s="282"/>
      <c r="CG65" s="282"/>
      <c r="CH65" s="282"/>
      <c r="CI65" s="282"/>
      <c r="CJ65" s="282"/>
      <c r="CK65" s="282"/>
      <c r="CL65" s="282"/>
      <c r="CM65" s="282"/>
      <c r="CN65" s="282"/>
      <c r="CO65" s="282"/>
      <c r="CP65" s="282"/>
      <c r="CQ65" s="282"/>
      <c r="CR65" s="282"/>
      <c r="CS65" s="282"/>
      <c r="CT65" s="282"/>
      <c r="CU65" s="282"/>
      <c r="CV65" s="282"/>
      <c r="CW65" s="282"/>
      <c r="CX65" s="282"/>
      <c r="CY65" s="282"/>
      <c r="CZ65" s="282"/>
      <c r="DA65" s="282"/>
      <c r="DB65" s="282"/>
      <c r="DC65" s="282"/>
      <c r="DD65" s="282"/>
      <c r="DE65" s="282"/>
      <c r="DF65" s="282"/>
      <c r="DG65" s="282"/>
      <c r="DH65" s="282"/>
      <c r="DI65" s="282"/>
      <c r="DJ65" s="282"/>
      <c r="DK65" s="282"/>
      <c r="DL65" s="282"/>
      <c r="DM65" s="282"/>
      <c r="DN65" s="282"/>
      <c r="DO65" s="282"/>
      <c r="DP65" s="282"/>
      <c r="DQ65" s="282"/>
      <c r="DR65" s="282"/>
      <c r="DS65" s="282"/>
      <c r="DT65" s="282"/>
      <c r="DU65" s="282"/>
      <c r="DV65" s="282"/>
      <c r="DW65" s="282"/>
      <c r="DX65" s="282"/>
      <c r="DY65" s="282"/>
      <c r="DZ65" s="282"/>
      <c r="EA65" s="282"/>
      <c r="EB65" s="282"/>
      <c r="EC65" s="282"/>
      <c r="ED65" s="282"/>
      <c r="EE65" s="282"/>
      <c r="EF65" s="282"/>
      <c r="EG65" s="282"/>
      <c r="EH65" s="282"/>
      <c r="EI65" s="282"/>
      <c r="EJ65" s="282"/>
      <c r="EK65" s="282"/>
      <c r="EL65" s="282"/>
      <c r="EM65" s="282"/>
      <c r="EN65" s="282"/>
      <c r="EO65" s="282"/>
      <c r="EP65" s="282"/>
      <c r="EQ65" s="282"/>
      <c r="ER65" s="282"/>
      <c r="ES65" s="282"/>
      <c r="ET65" s="282"/>
      <c r="EU65" s="282"/>
      <c r="EV65" s="282"/>
      <c r="EW65" s="282"/>
      <c r="EX65" s="282"/>
      <c r="EY65" s="282"/>
      <c r="EZ65" s="282"/>
      <c r="FA65" s="282"/>
    </row>
    <row r="66" spans="1:157" x14ac:dyDescent="0.3">
      <c r="A66" s="365"/>
      <c r="B66" s="365"/>
      <c r="C66" s="365"/>
      <c r="D66" s="365"/>
      <c r="E66" s="365"/>
      <c r="F66" s="365"/>
      <c r="G66" s="365"/>
      <c r="H66" s="365"/>
      <c r="I66" s="365"/>
      <c r="J66" s="365"/>
      <c r="K66" s="365"/>
      <c r="L66" s="365"/>
      <c r="M66" s="365"/>
      <c r="N66" s="365"/>
      <c r="O66" s="365"/>
      <c r="P66" s="365"/>
      <c r="Q66" s="365"/>
      <c r="R66" s="365"/>
      <c r="S66" s="365"/>
      <c r="T66" s="365"/>
      <c r="U66" s="365"/>
      <c r="V66" s="365"/>
      <c r="W66" s="365"/>
      <c r="X66" s="365"/>
      <c r="Y66" s="365"/>
      <c r="Z66" s="365"/>
      <c r="AA66" s="365"/>
      <c r="AB66" s="365"/>
      <c r="AC66" s="365"/>
      <c r="AD66" s="282"/>
      <c r="AE66" s="282"/>
      <c r="AF66" s="282"/>
      <c r="AG66" s="282"/>
      <c r="AH66" s="282"/>
      <c r="AI66" s="282"/>
      <c r="AJ66" s="282"/>
      <c r="AK66" s="282"/>
      <c r="AL66" s="282"/>
      <c r="AM66" s="282"/>
      <c r="AN66" s="282"/>
      <c r="AO66" s="282"/>
      <c r="AP66" s="282"/>
      <c r="AQ66" s="282"/>
      <c r="AR66" s="282"/>
      <c r="AS66" s="282"/>
      <c r="AT66" s="282"/>
      <c r="AU66" s="282"/>
      <c r="AV66" s="282"/>
      <c r="AW66" s="282"/>
      <c r="AX66" s="282"/>
      <c r="AY66" s="282"/>
      <c r="AZ66" s="282"/>
      <c r="BA66" s="282"/>
      <c r="BB66" s="282"/>
      <c r="BC66" s="282"/>
      <c r="BD66" s="282"/>
      <c r="BE66" s="282"/>
      <c r="BF66" s="282"/>
      <c r="BG66" s="282"/>
      <c r="BH66" s="282"/>
      <c r="BI66" s="282"/>
      <c r="BJ66" s="282"/>
      <c r="BK66" s="282"/>
      <c r="BL66" s="282"/>
      <c r="BM66" s="282"/>
      <c r="BN66" s="282"/>
      <c r="BO66" s="282"/>
      <c r="BP66" s="282"/>
      <c r="BQ66" s="282"/>
      <c r="BR66" s="282"/>
      <c r="BS66" s="282"/>
      <c r="BT66" s="359"/>
      <c r="BU66" s="282"/>
      <c r="BV66" s="282"/>
      <c r="BW66" s="282"/>
      <c r="BX66" s="282"/>
      <c r="BY66" s="282"/>
      <c r="BZ66" s="282"/>
      <c r="CA66" s="282"/>
      <c r="CB66" s="282"/>
      <c r="CC66" s="282"/>
      <c r="CD66" s="282"/>
      <c r="CE66" s="282"/>
      <c r="CF66" s="282"/>
      <c r="CG66" s="282"/>
      <c r="CH66" s="282"/>
      <c r="CI66" s="282"/>
      <c r="CJ66" s="282"/>
      <c r="CK66" s="282"/>
      <c r="CL66" s="282"/>
      <c r="CM66" s="282"/>
      <c r="CN66" s="282"/>
      <c r="CO66" s="282"/>
      <c r="CP66" s="282"/>
      <c r="CQ66" s="282"/>
      <c r="CR66" s="282"/>
      <c r="CS66" s="282"/>
      <c r="CT66" s="282"/>
      <c r="CU66" s="282"/>
      <c r="CV66" s="282"/>
      <c r="CW66" s="282"/>
      <c r="CX66" s="282"/>
      <c r="CY66" s="282"/>
      <c r="CZ66" s="282"/>
      <c r="DA66" s="282"/>
      <c r="DB66" s="282"/>
      <c r="DC66" s="282"/>
      <c r="DD66" s="282"/>
      <c r="DE66" s="282"/>
      <c r="DF66" s="282"/>
      <c r="DG66" s="282"/>
      <c r="DH66" s="282"/>
      <c r="DI66" s="282"/>
      <c r="DJ66" s="282"/>
      <c r="DK66" s="282"/>
      <c r="DL66" s="282"/>
      <c r="DM66" s="282"/>
      <c r="DN66" s="282"/>
      <c r="DO66" s="282"/>
      <c r="DP66" s="282"/>
      <c r="DQ66" s="282"/>
      <c r="DR66" s="282"/>
      <c r="DS66" s="282"/>
      <c r="DT66" s="282"/>
      <c r="DU66" s="282"/>
      <c r="DV66" s="282"/>
      <c r="DW66" s="282"/>
      <c r="DX66" s="282"/>
      <c r="DY66" s="282"/>
      <c r="DZ66" s="282"/>
      <c r="EA66" s="282"/>
      <c r="EB66" s="282"/>
      <c r="EC66" s="282"/>
      <c r="ED66" s="282"/>
      <c r="EE66" s="282"/>
      <c r="EF66" s="282"/>
      <c r="EG66" s="282"/>
      <c r="EH66" s="282"/>
      <c r="EI66" s="282"/>
      <c r="EJ66" s="282"/>
      <c r="EK66" s="282"/>
      <c r="EL66" s="282"/>
      <c r="EM66" s="282"/>
      <c r="EN66" s="282"/>
      <c r="EO66" s="282"/>
      <c r="EP66" s="282"/>
      <c r="EQ66" s="282"/>
      <c r="ER66" s="282"/>
      <c r="ES66" s="282"/>
      <c r="ET66" s="282"/>
      <c r="EU66" s="282"/>
      <c r="EV66" s="282"/>
      <c r="EW66" s="282"/>
      <c r="EX66" s="282"/>
      <c r="EY66" s="282"/>
      <c r="EZ66" s="282"/>
      <c r="FA66" s="282"/>
    </row>
    <row r="67" spans="1:157" x14ac:dyDescent="0.3">
      <c r="A67" s="365"/>
      <c r="B67" s="365"/>
      <c r="C67" s="365"/>
      <c r="D67" s="365"/>
      <c r="E67" s="365"/>
      <c r="F67" s="365"/>
      <c r="G67" s="365"/>
      <c r="H67" s="365"/>
      <c r="I67" s="365"/>
      <c r="J67" s="365"/>
      <c r="K67" s="365"/>
      <c r="L67" s="365"/>
      <c r="M67" s="365"/>
      <c r="N67" s="365"/>
      <c r="O67" s="365"/>
      <c r="P67" s="365"/>
      <c r="Q67" s="365"/>
      <c r="R67" s="365"/>
      <c r="S67" s="365"/>
      <c r="T67" s="365"/>
      <c r="U67" s="365"/>
      <c r="V67" s="365"/>
      <c r="W67" s="365"/>
      <c r="X67" s="365"/>
      <c r="Y67" s="365"/>
      <c r="Z67" s="365"/>
      <c r="AA67" s="365"/>
      <c r="AB67" s="365"/>
      <c r="AC67" s="365"/>
      <c r="AD67" s="282"/>
      <c r="AE67" s="282"/>
      <c r="AF67" s="282"/>
      <c r="AG67" s="282"/>
      <c r="AH67" s="282"/>
      <c r="AI67" s="282"/>
      <c r="AJ67" s="282"/>
      <c r="AK67" s="282"/>
      <c r="AL67" s="282"/>
      <c r="AM67" s="282"/>
      <c r="AN67" s="282"/>
      <c r="AO67" s="282"/>
      <c r="AP67" s="282"/>
      <c r="AQ67" s="282"/>
      <c r="AR67" s="282"/>
      <c r="AS67" s="282"/>
      <c r="AT67" s="282"/>
      <c r="AU67" s="282"/>
      <c r="AV67" s="282"/>
      <c r="AW67" s="282"/>
      <c r="AX67" s="282"/>
      <c r="AY67" s="282"/>
      <c r="AZ67" s="282"/>
      <c r="BA67" s="282"/>
      <c r="BB67" s="282"/>
      <c r="BC67" s="282"/>
      <c r="BD67" s="282"/>
      <c r="BE67" s="282"/>
      <c r="BF67" s="282"/>
      <c r="BG67" s="282"/>
      <c r="BH67" s="282"/>
      <c r="BI67" s="282"/>
      <c r="BJ67" s="282"/>
      <c r="BK67" s="282"/>
      <c r="BL67" s="282"/>
      <c r="BM67" s="282"/>
      <c r="BN67" s="282"/>
      <c r="BO67" s="282"/>
      <c r="BP67" s="282"/>
      <c r="BQ67" s="282"/>
      <c r="BR67" s="282"/>
      <c r="BS67" s="282"/>
      <c r="BT67" s="359"/>
      <c r="BU67" s="282"/>
      <c r="BV67" s="282"/>
      <c r="BW67" s="282"/>
      <c r="BX67" s="282"/>
      <c r="BY67" s="282"/>
      <c r="BZ67" s="282"/>
      <c r="CA67" s="282"/>
      <c r="CB67" s="282"/>
      <c r="CC67" s="282"/>
      <c r="CD67" s="282"/>
      <c r="CE67" s="282"/>
      <c r="CF67" s="282"/>
      <c r="CG67" s="282"/>
      <c r="CH67" s="282"/>
      <c r="CI67" s="282"/>
      <c r="CJ67" s="282"/>
      <c r="CK67" s="282"/>
      <c r="CL67" s="282"/>
      <c r="CM67" s="282"/>
      <c r="CN67" s="282"/>
      <c r="CO67" s="282"/>
      <c r="CP67" s="282"/>
      <c r="CQ67" s="282"/>
      <c r="CR67" s="282"/>
      <c r="CS67" s="282"/>
      <c r="CT67" s="282"/>
      <c r="CU67" s="282"/>
      <c r="CV67" s="282"/>
      <c r="CW67" s="282"/>
      <c r="CX67" s="282"/>
      <c r="CY67" s="282"/>
      <c r="CZ67" s="282"/>
      <c r="DA67" s="282"/>
      <c r="DB67" s="282"/>
      <c r="DC67" s="282"/>
      <c r="DD67" s="282"/>
      <c r="DE67" s="282"/>
      <c r="DF67" s="282"/>
      <c r="DG67" s="282"/>
      <c r="DH67" s="282"/>
      <c r="DI67" s="282"/>
      <c r="DJ67" s="282"/>
      <c r="DK67" s="282"/>
      <c r="DL67" s="282"/>
      <c r="DM67" s="282"/>
      <c r="DN67" s="282"/>
      <c r="DO67" s="282"/>
      <c r="DP67" s="282"/>
      <c r="DQ67" s="282"/>
      <c r="DR67" s="282"/>
      <c r="DS67" s="282"/>
      <c r="DT67" s="282"/>
      <c r="DU67" s="282"/>
      <c r="DV67" s="282"/>
      <c r="DW67" s="282"/>
      <c r="DX67" s="282"/>
      <c r="DY67" s="282"/>
      <c r="DZ67" s="282"/>
      <c r="EA67" s="282"/>
      <c r="EB67" s="282"/>
      <c r="EC67" s="282"/>
      <c r="ED67" s="282"/>
      <c r="EE67" s="282"/>
      <c r="EF67" s="282"/>
      <c r="EG67" s="282"/>
      <c r="EH67" s="282"/>
      <c r="EI67" s="282"/>
      <c r="EJ67" s="282"/>
      <c r="EK67" s="282"/>
      <c r="EL67" s="282"/>
      <c r="EM67" s="282"/>
      <c r="EN67" s="282"/>
      <c r="EO67" s="282"/>
      <c r="EP67" s="282"/>
      <c r="EQ67" s="282"/>
      <c r="ER67" s="282"/>
      <c r="ES67" s="282"/>
      <c r="ET67" s="282"/>
      <c r="EU67" s="282"/>
      <c r="EV67" s="282"/>
      <c r="EW67" s="282"/>
      <c r="EX67" s="282"/>
      <c r="EY67" s="282"/>
      <c r="EZ67" s="282"/>
      <c r="FA67" s="282"/>
    </row>
    <row r="68" spans="1:157" x14ac:dyDescent="0.3">
      <c r="A68" s="365"/>
      <c r="B68" s="365"/>
      <c r="C68" s="365"/>
      <c r="D68" s="365"/>
      <c r="E68" s="365"/>
      <c r="F68" s="365"/>
      <c r="G68" s="365"/>
      <c r="H68" s="365"/>
      <c r="I68" s="365"/>
      <c r="J68" s="365"/>
      <c r="K68" s="365"/>
      <c r="L68" s="365"/>
      <c r="M68" s="365"/>
      <c r="N68" s="365"/>
      <c r="O68" s="365"/>
      <c r="P68" s="365"/>
      <c r="Q68" s="365"/>
      <c r="R68" s="365"/>
      <c r="S68" s="365"/>
      <c r="T68" s="365"/>
      <c r="U68" s="365"/>
      <c r="V68" s="365"/>
      <c r="W68" s="365"/>
      <c r="X68" s="365"/>
      <c r="Y68" s="365"/>
      <c r="Z68" s="365"/>
      <c r="AA68" s="365"/>
      <c r="AB68" s="365"/>
      <c r="AC68" s="365"/>
      <c r="AD68" s="282"/>
      <c r="AE68" s="282"/>
      <c r="AF68" s="282"/>
      <c r="AG68" s="282"/>
      <c r="AH68" s="282"/>
      <c r="AI68" s="282"/>
      <c r="AJ68" s="282"/>
      <c r="AK68" s="282"/>
      <c r="AL68" s="282"/>
      <c r="AM68" s="282"/>
      <c r="AN68" s="282"/>
      <c r="AO68" s="282"/>
      <c r="AP68" s="282"/>
      <c r="AQ68" s="282"/>
      <c r="AR68" s="282"/>
      <c r="AS68" s="282"/>
      <c r="AT68" s="282"/>
      <c r="AU68" s="282"/>
      <c r="AV68" s="282"/>
      <c r="AW68" s="282"/>
      <c r="AX68" s="282"/>
      <c r="AY68" s="282"/>
      <c r="AZ68" s="282"/>
      <c r="BA68" s="282"/>
      <c r="BB68" s="282"/>
      <c r="BC68" s="282"/>
      <c r="BD68" s="282"/>
      <c r="BE68" s="282"/>
      <c r="BF68" s="282"/>
      <c r="BG68" s="282"/>
      <c r="BH68" s="282"/>
      <c r="BI68" s="282"/>
      <c r="BJ68" s="282"/>
      <c r="BK68" s="282"/>
      <c r="BL68" s="282"/>
      <c r="BM68" s="282"/>
      <c r="BN68" s="282"/>
      <c r="BO68" s="282"/>
      <c r="BP68" s="282"/>
      <c r="BQ68" s="282"/>
      <c r="BR68" s="282"/>
      <c r="BS68" s="282"/>
      <c r="BT68" s="359"/>
      <c r="BU68" s="282"/>
      <c r="BV68" s="282"/>
      <c r="BW68" s="282"/>
      <c r="BX68" s="282"/>
      <c r="BY68" s="282"/>
      <c r="BZ68" s="282"/>
      <c r="CA68" s="282"/>
      <c r="CB68" s="282"/>
      <c r="CC68" s="282"/>
      <c r="CD68" s="282"/>
      <c r="CE68" s="282"/>
      <c r="CF68" s="282"/>
      <c r="CG68" s="282"/>
      <c r="CH68" s="282"/>
      <c r="CI68" s="282"/>
      <c r="CJ68" s="282"/>
      <c r="CK68" s="282"/>
      <c r="CL68" s="282"/>
      <c r="CM68" s="282"/>
      <c r="CN68" s="282"/>
      <c r="CO68" s="282"/>
      <c r="CP68" s="282"/>
      <c r="CQ68" s="282"/>
      <c r="CR68" s="282"/>
      <c r="CS68" s="282"/>
      <c r="CT68" s="282"/>
      <c r="CU68" s="282"/>
      <c r="CV68" s="282"/>
      <c r="CW68" s="282"/>
      <c r="CX68" s="282"/>
      <c r="CY68" s="282"/>
      <c r="CZ68" s="282"/>
      <c r="DA68" s="282"/>
      <c r="DB68" s="282"/>
      <c r="DC68" s="282"/>
      <c r="DD68" s="282"/>
      <c r="DE68" s="282"/>
      <c r="DF68" s="282"/>
      <c r="DG68" s="282"/>
      <c r="DH68" s="282"/>
      <c r="DI68" s="282"/>
      <c r="DJ68" s="282"/>
      <c r="DK68" s="282"/>
      <c r="DL68" s="282"/>
      <c r="DM68" s="282"/>
      <c r="DN68" s="282"/>
      <c r="DO68" s="282"/>
      <c r="DP68" s="282"/>
      <c r="DQ68" s="282"/>
      <c r="DR68" s="282"/>
      <c r="DS68" s="282"/>
      <c r="DT68" s="282"/>
      <c r="DU68" s="282"/>
      <c r="DV68" s="282"/>
      <c r="DW68" s="282"/>
      <c r="DX68" s="282"/>
      <c r="DY68" s="282"/>
      <c r="DZ68" s="282"/>
      <c r="EA68" s="282"/>
      <c r="EB68" s="282"/>
      <c r="EC68" s="282"/>
      <c r="ED68" s="282"/>
      <c r="EE68" s="282"/>
      <c r="EF68" s="282"/>
      <c r="EG68" s="282"/>
      <c r="EH68" s="282"/>
      <c r="EI68" s="282"/>
      <c r="EJ68" s="282"/>
      <c r="EK68" s="282"/>
      <c r="EL68" s="282"/>
      <c r="EM68" s="282"/>
      <c r="EN68" s="282"/>
      <c r="EO68" s="282"/>
      <c r="EP68" s="282"/>
      <c r="EQ68" s="282"/>
      <c r="ER68" s="282"/>
      <c r="ES68" s="282"/>
      <c r="ET68" s="282"/>
      <c r="EU68" s="282"/>
      <c r="EV68" s="282"/>
      <c r="EW68" s="282"/>
      <c r="EX68" s="282"/>
      <c r="EY68" s="282"/>
      <c r="EZ68" s="282"/>
      <c r="FA68" s="282"/>
    </row>
    <row r="69" spans="1:157" x14ac:dyDescent="0.3">
      <c r="A69" s="365"/>
      <c r="B69" s="365"/>
      <c r="C69" s="365"/>
      <c r="D69" s="365"/>
      <c r="E69" s="365"/>
      <c r="F69" s="365"/>
      <c r="G69" s="365"/>
      <c r="H69" s="365"/>
      <c r="I69" s="365"/>
      <c r="J69" s="365"/>
      <c r="K69" s="365"/>
      <c r="L69" s="365"/>
      <c r="M69" s="365"/>
      <c r="N69" s="365"/>
      <c r="O69" s="365"/>
      <c r="P69" s="365"/>
      <c r="Q69" s="365"/>
      <c r="R69" s="365"/>
      <c r="S69" s="365"/>
      <c r="T69" s="365"/>
      <c r="U69" s="365"/>
      <c r="V69" s="365"/>
      <c r="W69" s="365"/>
      <c r="X69" s="365"/>
      <c r="Y69" s="365"/>
      <c r="Z69" s="365"/>
      <c r="AA69" s="365"/>
      <c r="AB69" s="365"/>
      <c r="AC69" s="365"/>
      <c r="AD69" s="282"/>
      <c r="AE69" s="282"/>
      <c r="AF69" s="282"/>
      <c r="AG69" s="282"/>
      <c r="AH69" s="282"/>
      <c r="AI69" s="282"/>
      <c r="AJ69" s="282"/>
      <c r="AK69" s="282"/>
      <c r="AL69" s="282"/>
      <c r="AM69" s="282"/>
      <c r="AN69" s="282"/>
      <c r="AO69" s="282"/>
      <c r="AP69" s="282"/>
      <c r="AQ69" s="282"/>
      <c r="AR69" s="282"/>
      <c r="AS69" s="282"/>
      <c r="AT69" s="282"/>
      <c r="AU69" s="282"/>
      <c r="AV69" s="282"/>
      <c r="AW69" s="282"/>
      <c r="AX69" s="282"/>
      <c r="AY69" s="282"/>
      <c r="AZ69" s="282"/>
      <c r="BA69" s="282"/>
      <c r="BB69" s="282"/>
      <c r="BC69" s="282"/>
      <c r="BD69" s="282"/>
      <c r="BE69" s="282"/>
      <c r="BF69" s="282"/>
      <c r="BG69" s="282"/>
      <c r="BH69" s="282"/>
      <c r="BI69" s="282"/>
      <c r="BJ69" s="282"/>
      <c r="BK69" s="282"/>
      <c r="BL69" s="282"/>
      <c r="BM69" s="282"/>
      <c r="BN69" s="282"/>
      <c r="BO69" s="282"/>
      <c r="BP69" s="282"/>
      <c r="BQ69" s="282"/>
      <c r="BR69" s="282"/>
      <c r="BS69" s="282"/>
      <c r="BT69" s="359"/>
      <c r="BU69" s="282"/>
      <c r="BV69" s="282"/>
      <c r="BW69" s="282"/>
      <c r="BX69" s="282"/>
      <c r="BY69" s="282"/>
      <c r="BZ69" s="282"/>
      <c r="CA69" s="282"/>
      <c r="CB69" s="282"/>
      <c r="CC69" s="282"/>
      <c r="CD69" s="282"/>
      <c r="CE69" s="282"/>
      <c r="CF69" s="282"/>
      <c r="CG69" s="282"/>
      <c r="CH69" s="282"/>
      <c r="CI69" s="282"/>
      <c r="CJ69" s="282"/>
      <c r="CK69" s="282"/>
      <c r="CL69" s="282"/>
      <c r="CM69" s="282"/>
      <c r="CN69" s="282"/>
      <c r="CO69" s="282"/>
      <c r="CP69" s="282"/>
      <c r="CQ69" s="282"/>
      <c r="CR69" s="282"/>
      <c r="CS69" s="282"/>
      <c r="CT69" s="282"/>
      <c r="CU69" s="282"/>
      <c r="CV69" s="282"/>
      <c r="CW69" s="282"/>
      <c r="CX69" s="282"/>
      <c r="CY69" s="282"/>
      <c r="CZ69" s="282"/>
      <c r="DA69" s="282"/>
      <c r="DB69" s="282"/>
      <c r="DC69" s="282"/>
      <c r="DD69" s="282"/>
      <c r="DE69" s="282"/>
      <c r="DF69" s="282"/>
      <c r="DG69" s="282"/>
      <c r="DH69" s="282"/>
      <c r="DI69" s="282"/>
      <c r="DJ69" s="282"/>
      <c r="DK69" s="282"/>
      <c r="DL69" s="282"/>
      <c r="DM69" s="282"/>
      <c r="DN69" s="282"/>
      <c r="DO69" s="282"/>
      <c r="DP69" s="282"/>
      <c r="DQ69" s="282"/>
      <c r="DR69" s="282"/>
      <c r="DS69" s="282"/>
      <c r="DT69" s="282"/>
      <c r="DU69" s="282"/>
      <c r="DV69" s="282"/>
      <c r="DW69" s="282"/>
      <c r="DX69" s="282"/>
      <c r="DY69" s="282"/>
      <c r="DZ69" s="282"/>
      <c r="EA69" s="282"/>
      <c r="EB69" s="282"/>
      <c r="EC69" s="282"/>
      <c r="ED69" s="282"/>
      <c r="EE69" s="282"/>
      <c r="EF69" s="282"/>
      <c r="EG69" s="282"/>
      <c r="EH69" s="282"/>
      <c r="EI69" s="282"/>
      <c r="EJ69" s="282"/>
      <c r="EK69" s="282"/>
      <c r="EL69" s="282"/>
      <c r="EM69" s="282"/>
      <c r="EN69" s="282"/>
      <c r="EO69" s="282"/>
      <c r="EP69" s="282"/>
      <c r="EQ69" s="282"/>
      <c r="ER69" s="282"/>
      <c r="ES69" s="282"/>
      <c r="ET69" s="282"/>
      <c r="EU69" s="282"/>
      <c r="EV69" s="282"/>
      <c r="EW69" s="282"/>
      <c r="EX69" s="282"/>
      <c r="EY69" s="282"/>
      <c r="EZ69" s="282"/>
      <c r="FA69" s="282"/>
    </row>
    <row r="70" spans="1:157" x14ac:dyDescent="0.3">
      <c r="A70" s="365"/>
      <c r="B70" s="365"/>
      <c r="C70" s="365"/>
      <c r="D70" s="365"/>
      <c r="E70" s="365"/>
      <c r="F70" s="365"/>
      <c r="G70" s="365"/>
      <c r="H70" s="365"/>
      <c r="I70" s="365"/>
      <c r="J70" s="365"/>
      <c r="K70" s="365"/>
      <c r="L70" s="365"/>
      <c r="M70" s="365"/>
      <c r="N70" s="365"/>
      <c r="O70" s="365"/>
      <c r="P70" s="365"/>
      <c r="Q70" s="365"/>
      <c r="R70" s="365"/>
      <c r="S70" s="365"/>
      <c r="T70" s="365"/>
      <c r="U70" s="365"/>
      <c r="V70" s="365"/>
      <c r="W70" s="365"/>
      <c r="X70" s="365"/>
      <c r="Y70" s="365"/>
      <c r="Z70" s="365"/>
      <c r="AA70" s="365"/>
      <c r="AB70" s="365"/>
      <c r="AC70" s="365"/>
      <c r="AD70" s="282"/>
      <c r="AE70" s="282"/>
      <c r="AF70" s="282"/>
      <c r="AG70" s="282"/>
      <c r="AH70" s="282"/>
      <c r="AI70" s="282"/>
      <c r="AJ70" s="282"/>
      <c r="AK70" s="282"/>
      <c r="AL70" s="282"/>
      <c r="AM70" s="282"/>
      <c r="AN70" s="282"/>
      <c r="AO70" s="282"/>
      <c r="AP70" s="282"/>
      <c r="AQ70" s="282"/>
      <c r="AR70" s="282"/>
      <c r="AS70" s="282"/>
      <c r="AT70" s="282"/>
      <c r="AU70" s="282"/>
      <c r="AV70" s="282"/>
      <c r="AW70" s="282"/>
      <c r="AX70" s="282"/>
      <c r="AY70" s="282"/>
      <c r="AZ70" s="282"/>
      <c r="BA70" s="282"/>
      <c r="BB70" s="282"/>
      <c r="BC70" s="282"/>
      <c r="BD70" s="282"/>
      <c r="BE70" s="282"/>
      <c r="BF70" s="282"/>
      <c r="BG70" s="282"/>
      <c r="BH70" s="282"/>
      <c r="BI70" s="282"/>
      <c r="BJ70" s="282"/>
      <c r="BK70" s="282"/>
      <c r="BL70" s="282"/>
      <c r="BM70" s="282"/>
      <c r="BN70" s="282"/>
      <c r="BO70" s="282"/>
      <c r="BP70" s="282"/>
      <c r="BQ70" s="282"/>
      <c r="BR70" s="282"/>
      <c r="BS70" s="282"/>
      <c r="BT70" s="359"/>
      <c r="BU70" s="282"/>
      <c r="BV70" s="282"/>
      <c r="BW70" s="282"/>
      <c r="BX70" s="282"/>
      <c r="BY70" s="282"/>
      <c r="BZ70" s="282"/>
      <c r="CA70" s="282"/>
      <c r="CB70" s="282"/>
      <c r="CC70" s="282"/>
      <c r="CD70" s="282"/>
      <c r="CE70" s="282"/>
      <c r="CF70" s="282"/>
      <c r="CG70" s="282"/>
      <c r="CH70" s="282"/>
      <c r="CI70" s="282"/>
      <c r="CJ70" s="282"/>
      <c r="CK70" s="282"/>
      <c r="CL70" s="282"/>
      <c r="CM70" s="282"/>
      <c r="CN70" s="282"/>
      <c r="CO70" s="282"/>
      <c r="CP70" s="282"/>
      <c r="CQ70" s="282"/>
      <c r="CR70" s="282"/>
      <c r="CS70" s="282"/>
      <c r="CT70" s="282"/>
      <c r="CU70" s="282"/>
      <c r="CV70" s="282"/>
      <c r="CW70" s="282"/>
      <c r="CX70" s="282"/>
      <c r="CY70" s="282"/>
      <c r="CZ70" s="282"/>
      <c r="DA70" s="282"/>
      <c r="DB70" s="282"/>
      <c r="DC70" s="282"/>
      <c r="DD70" s="282"/>
      <c r="DE70" s="282"/>
      <c r="DF70" s="282"/>
      <c r="DG70" s="282"/>
      <c r="DH70" s="282"/>
      <c r="DI70" s="282"/>
      <c r="DJ70" s="282"/>
      <c r="DK70" s="282"/>
      <c r="DL70" s="282"/>
      <c r="DM70" s="282"/>
      <c r="DN70" s="282"/>
      <c r="DO70" s="282"/>
      <c r="DP70" s="282"/>
      <c r="DQ70" s="282"/>
      <c r="DR70" s="282"/>
      <c r="DS70" s="282"/>
      <c r="DT70" s="282"/>
      <c r="DU70" s="282"/>
      <c r="DV70" s="282"/>
      <c r="DW70" s="282"/>
      <c r="DX70" s="282"/>
      <c r="DY70" s="282"/>
      <c r="DZ70" s="282"/>
      <c r="EA70" s="282"/>
      <c r="EB70" s="282"/>
      <c r="EC70" s="282"/>
      <c r="ED70" s="282"/>
      <c r="EE70" s="282"/>
      <c r="EF70" s="282"/>
      <c r="EG70" s="282"/>
      <c r="EH70" s="282"/>
      <c r="EI70" s="282"/>
      <c r="EJ70" s="282"/>
      <c r="EK70" s="282"/>
      <c r="EL70" s="282"/>
      <c r="EM70" s="282"/>
      <c r="EN70" s="282"/>
      <c r="EO70" s="282"/>
      <c r="EP70" s="282"/>
      <c r="EQ70" s="282"/>
      <c r="ER70" s="282"/>
      <c r="ES70" s="282"/>
      <c r="ET70" s="282"/>
      <c r="EU70" s="282"/>
      <c r="EV70" s="282"/>
      <c r="EW70" s="282"/>
      <c r="EX70" s="282"/>
      <c r="EY70" s="282"/>
      <c r="EZ70" s="282"/>
      <c r="FA70" s="282"/>
    </row>
    <row r="71" spans="1:157" x14ac:dyDescent="0.3">
      <c r="A71" s="365"/>
      <c r="B71" s="365"/>
      <c r="C71" s="365"/>
      <c r="D71" s="365"/>
      <c r="E71" s="365"/>
      <c r="F71" s="365"/>
      <c r="G71" s="365"/>
      <c r="H71" s="365"/>
      <c r="I71" s="365"/>
      <c r="J71" s="365"/>
      <c r="K71" s="365"/>
      <c r="L71" s="365"/>
      <c r="M71" s="365"/>
      <c r="N71" s="365"/>
      <c r="O71" s="365"/>
      <c r="P71" s="365"/>
      <c r="Q71" s="365"/>
      <c r="R71" s="365"/>
      <c r="S71" s="365"/>
      <c r="T71" s="365"/>
      <c r="U71" s="365"/>
      <c r="V71" s="365"/>
      <c r="W71" s="365"/>
      <c r="X71" s="365"/>
      <c r="Y71" s="365"/>
      <c r="Z71" s="365"/>
      <c r="AA71" s="365"/>
      <c r="AB71" s="365"/>
      <c r="AC71" s="365"/>
      <c r="AD71" s="282"/>
      <c r="AE71" s="282"/>
      <c r="AF71" s="282"/>
      <c r="AG71" s="282"/>
      <c r="AH71" s="282"/>
      <c r="AI71" s="282"/>
      <c r="AJ71" s="282"/>
      <c r="AK71" s="282"/>
      <c r="AL71" s="282"/>
      <c r="AM71" s="282"/>
      <c r="AN71" s="282"/>
      <c r="AO71" s="282"/>
      <c r="AP71" s="282"/>
      <c r="AQ71" s="282"/>
      <c r="AR71" s="282"/>
      <c r="AS71" s="282"/>
      <c r="AT71" s="282"/>
      <c r="AU71" s="282"/>
      <c r="AV71" s="282"/>
      <c r="AW71" s="282"/>
      <c r="AX71" s="282"/>
      <c r="AY71" s="282"/>
      <c r="AZ71" s="282"/>
      <c r="BA71" s="282"/>
      <c r="BB71" s="282"/>
      <c r="BC71" s="282"/>
      <c r="BD71" s="282"/>
      <c r="BE71" s="282"/>
      <c r="BF71" s="282"/>
      <c r="BG71" s="282"/>
      <c r="BH71" s="282"/>
      <c r="BI71" s="282"/>
      <c r="BJ71" s="282"/>
      <c r="BK71" s="282"/>
      <c r="BL71" s="282"/>
      <c r="BM71" s="282"/>
      <c r="BN71" s="282"/>
      <c r="BO71" s="282"/>
      <c r="BP71" s="282"/>
      <c r="BQ71" s="282"/>
      <c r="BR71" s="282"/>
      <c r="BS71" s="282"/>
      <c r="BT71" s="359"/>
      <c r="BU71" s="282"/>
      <c r="BV71" s="282"/>
      <c r="BW71" s="282"/>
      <c r="BX71" s="282"/>
      <c r="BY71" s="282"/>
      <c r="BZ71" s="282"/>
      <c r="CA71" s="282"/>
      <c r="CB71" s="282"/>
      <c r="CC71" s="282"/>
      <c r="CD71" s="282"/>
      <c r="CE71" s="282"/>
      <c r="CF71" s="282"/>
      <c r="CG71" s="282"/>
      <c r="CH71" s="282"/>
      <c r="CI71" s="282"/>
      <c r="CJ71" s="282"/>
      <c r="CK71" s="282"/>
      <c r="CL71" s="282"/>
      <c r="CM71" s="282"/>
      <c r="CN71" s="282"/>
      <c r="CO71" s="282"/>
      <c r="CP71" s="282"/>
      <c r="CQ71" s="282"/>
      <c r="CR71" s="282"/>
      <c r="CS71" s="282"/>
      <c r="CT71" s="282"/>
      <c r="CU71" s="282"/>
      <c r="CV71" s="282"/>
      <c r="CW71" s="282"/>
      <c r="CX71" s="282"/>
      <c r="CY71" s="282"/>
      <c r="CZ71" s="282"/>
      <c r="DA71" s="282"/>
      <c r="DB71" s="282"/>
      <c r="DC71" s="282"/>
      <c r="DD71" s="282"/>
      <c r="DE71" s="282"/>
      <c r="DF71" s="282"/>
      <c r="DG71" s="282"/>
      <c r="DH71" s="282"/>
      <c r="DI71" s="282"/>
      <c r="DJ71" s="282"/>
      <c r="DK71" s="282"/>
      <c r="DL71" s="282"/>
      <c r="DM71" s="282"/>
      <c r="DN71" s="282"/>
      <c r="DO71" s="282"/>
      <c r="DP71" s="282"/>
      <c r="DQ71" s="282"/>
      <c r="DR71" s="282"/>
      <c r="DS71" s="282"/>
      <c r="DT71" s="282"/>
      <c r="DU71" s="282"/>
      <c r="DV71" s="282"/>
      <c r="DW71" s="282"/>
      <c r="DX71" s="282"/>
      <c r="DY71" s="282"/>
      <c r="DZ71" s="282"/>
      <c r="EA71" s="282"/>
      <c r="EB71" s="282"/>
      <c r="EC71" s="282"/>
      <c r="ED71" s="282"/>
      <c r="EE71" s="282"/>
      <c r="EF71" s="282"/>
      <c r="EG71" s="282"/>
      <c r="EH71" s="282"/>
      <c r="EI71" s="282"/>
      <c r="EJ71" s="282"/>
      <c r="EK71" s="282"/>
      <c r="EL71" s="282"/>
      <c r="EM71" s="282"/>
      <c r="EN71" s="282"/>
      <c r="EO71" s="282"/>
      <c r="EP71" s="282"/>
      <c r="EQ71" s="282"/>
      <c r="ER71" s="282"/>
      <c r="ES71" s="282"/>
      <c r="ET71" s="282"/>
      <c r="EU71" s="282"/>
      <c r="EV71" s="282"/>
      <c r="EW71" s="282"/>
      <c r="EX71" s="282"/>
      <c r="EY71" s="282"/>
      <c r="EZ71" s="282"/>
      <c r="FA71" s="282"/>
    </row>
    <row r="72" spans="1:157" x14ac:dyDescent="0.3">
      <c r="A72" s="365"/>
      <c r="B72" s="365"/>
      <c r="C72" s="365"/>
      <c r="D72" s="365"/>
      <c r="E72" s="365"/>
      <c r="F72" s="365"/>
      <c r="G72" s="365"/>
      <c r="H72" s="365"/>
      <c r="I72" s="365"/>
      <c r="J72" s="365"/>
      <c r="K72" s="365"/>
      <c r="L72" s="365"/>
      <c r="M72" s="365"/>
      <c r="N72" s="365"/>
      <c r="O72" s="365"/>
      <c r="P72" s="365"/>
      <c r="Q72" s="365"/>
      <c r="R72" s="365"/>
      <c r="S72" s="365"/>
      <c r="T72" s="365"/>
      <c r="U72" s="365"/>
      <c r="V72" s="365"/>
      <c r="W72" s="365"/>
      <c r="X72" s="365"/>
      <c r="Y72" s="365"/>
      <c r="Z72" s="365"/>
      <c r="AA72" s="365"/>
      <c r="AB72" s="365"/>
      <c r="AC72" s="365"/>
      <c r="AD72" s="282"/>
      <c r="AE72" s="282"/>
      <c r="AF72" s="282"/>
      <c r="AG72" s="282"/>
      <c r="AH72" s="282"/>
      <c r="AI72" s="282"/>
      <c r="AJ72" s="282"/>
      <c r="AK72" s="282"/>
      <c r="AL72" s="282"/>
      <c r="AM72" s="282"/>
      <c r="AN72" s="282"/>
      <c r="AO72" s="282"/>
      <c r="AP72" s="282"/>
      <c r="AQ72" s="282"/>
      <c r="AR72" s="282"/>
      <c r="AS72" s="282"/>
      <c r="AT72" s="282"/>
      <c r="AU72" s="282"/>
      <c r="AV72" s="282"/>
      <c r="AW72" s="282"/>
      <c r="AX72" s="282"/>
      <c r="AY72" s="282"/>
      <c r="AZ72" s="282"/>
      <c r="BA72" s="282"/>
      <c r="BB72" s="282"/>
      <c r="BC72" s="282"/>
      <c r="BD72" s="282"/>
      <c r="BE72" s="282"/>
      <c r="BF72" s="282"/>
      <c r="BG72" s="282"/>
      <c r="BH72" s="282"/>
      <c r="BI72" s="282"/>
      <c r="BJ72" s="282"/>
      <c r="BK72" s="282"/>
      <c r="BL72" s="282"/>
      <c r="BM72" s="282"/>
      <c r="BN72" s="282"/>
      <c r="BO72" s="282"/>
      <c r="BP72" s="282"/>
      <c r="BQ72" s="282"/>
      <c r="BR72" s="282"/>
      <c r="BS72" s="282"/>
      <c r="BT72" s="359"/>
      <c r="BU72" s="282"/>
      <c r="BV72" s="282"/>
      <c r="BW72" s="282"/>
      <c r="BX72" s="282"/>
      <c r="BY72" s="282"/>
      <c r="BZ72" s="282"/>
      <c r="CA72" s="282"/>
      <c r="CB72" s="282"/>
      <c r="CC72" s="282"/>
      <c r="CD72" s="282"/>
      <c r="CE72" s="282"/>
      <c r="CF72" s="282"/>
      <c r="CG72" s="282"/>
      <c r="CH72" s="282"/>
      <c r="CI72" s="282"/>
      <c r="CJ72" s="282"/>
      <c r="CK72" s="282"/>
      <c r="CL72" s="282"/>
      <c r="CM72" s="282"/>
      <c r="CN72" s="282"/>
      <c r="CO72" s="282"/>
      <c r="CP72" s="282"/>
      <c r="CQ72" s="282"/>
      <c r="CR72" s="282"/>
      <c r="CS72" s="282"/>
      <c r="CT72" s="282"/>
      <c r="CU72" s="282"/>
      <c r="CV72" s="282"/>
      <c r="CW72" s="282"/>
      <c r="CX72" s="282"/>
      <c r="CY72" s="282"/>
      <c r="CZ72" s="282"/>
      <c r="DA72" s="282"/>
      <c r="DB72" s="282"/>
      <c r="DC72" s="282"/>
      <c r="DD72" s="282"/>
      <c r="DE72" s="282"/>
      <c r="DF72" s="282"/>
      <c r="DG72" s="282"/>
      <c r="DH72" s="282"/>
      <c r="DI72" s="282"/>
      <c r="DJ72" s="282"/>
      <c r="DK72" s="282"/>
      <c r="DL72" s="282"/>
      <c r="DM72" s="282"/>
      <c r="DN72" s="282"/>
      <c r="DO72" s="282"/>
      <c r="DP72" s="282"/>
      <c r="DQ72" s="282"/>
      <c r="DR72" s="282"/>
      <c r="DS72" s="282"/>
      <c r="DT72" s="282"/>
      <c r="DU72" s="282"/>
      <c r="DV72" s="282"/>
      <c r="DW72" s="282"/>
      <c r="DX72" s="282"/>
      <c r="DY72" s="282"/>
      <c r="DZ72" s="282"/>
      <c r="EA72" s="282"/>
      <c r="EB72" s="282"/>
      <c r="EC72" s="282"/>
      <c r="ED72" s="282"/>
      <c r="EE72" s="282"/>
      <c r="EF72" s="282"/>
      <c r="EG72" s="282"/>
      <c r="EH72" s="282"/>
      <c r="EI72" s="282"/>
      <c r="EJ72" s="282"/>
      <c r="EK72" s="282"/>
      <c r="EL72" s="282"/>
      <c r="EM72" s="282"/>
      <c r="EN72" s="282"/>
      <c r="EO72" s="282"/>
      <c r="EP72" s="282"/>
      <c r="EQ72" s="282"/>
      <c r="ER72" s="282"/>
      <c r="ES72" s="282"/>
      <c r="ET72" s="282"/>
      <c r="EU72" s="282"/>
      <c r="EV72" s="282"/>
      <c r="EW72" s="282"/>
      <c r="EX72" s="282"/>
      <c r="EY72" s="282"/>
      <c r="EZ72" s="282"/>
      <c r="FA72" s="282"/>
    </row>
    <row r="73" spans="1:157" x14ac:dyDescent="0.3">
      <c r="A73" s="365"/>
      <c r="B73" s="365"/>
      <c r="C73" s="365"/>
      <c r="D73" s="365"/>
      <c r="E73" s="365"/>
      <c r="F73" s="365"/>
      <c r="G73" s="365"/>
      <c r="H73" s="365"/>
      <c r="I73" s="365"/>
      <c r="J73" s="365"/>
      <c r="K73" s="365"/>
      <c r="L73" s="365"/>
      <c r="M73" s="365"/>
      <c r="N73" s="365"/>
      <c r="O73" s="365"/>
      <c r="P73" s="365"/>
      <c r="Q73" s="365"/>
      <c r="R73" s="365"/>
      <c r="S73" s="365"/>
      <c r="T73" s="365"/>
      <c r="U73" s="365"/>
      <c r="V73" s="365"/>
      <c r="W73" s="365"/>
      <c r="X73" s="365"/>
      <c r="Y73" s="365"/>
      <c r="Z73" s="365"/>
      <c r="AA73" s="365"/>
      <c r="AB73" s="365"/>
      <c r="AC73" s="365"/>
      <c r="AD73" s="282"/>
      <c r="AE73" s="282"/>
      <c r="AF73" s="282"/>
      <c r="AG73" s="282"/>
      <c r="AH73" s="282"/>
      <c r="AI73" s="282"/>
      <c r="AJ73" s="282"/>
      <c r="AK73" s="282"/>
      <c r="AL73" s="282"/>
      <c r="AM73" s="282"/>
      <c r="AN73" s="282"/>
      <c r="AO73" s="282"/>
      <c r="AP73" s="282"/>
      <c r="AQ73" s="282"/>
      <c r="AR73" s="282"/>
      <c r="AS73" s="282"/>
      <c r="AT73" s="282"/>
      <c r="AU73" s="282"/>
      <c r="AV73" s="282"/>
      <c r="AW73" s="282"/>
      <c r="AX73" s="282"/>
      <c r="AY73" s="282"/>
      <c r="AZ73" s="282"/>
      <c r="BA73" s="282"/>
      <c r="BB73" s="282"/>
      <c r="BC73" s="282"/>
      <c r="BD73" s="282"/>
      <c r="BE73" s="282"/>
      <c r="BF73" s="282"/>
      <c r="BG73" s="282"/>
      <c r="BH73" s="282"/>
      <c r="BI73" s="282"/>
      <c r="BJ73" s="282"/>
      <c r="BK73" s="282"/>
      <c r="BL73" s="282"/>
      <c r="BM73" s="282"/>
      <c r="BN73" s="282"/>
      <c r="BO73" s="282"/>
      <c r="BP73" s="282"/>
      <c r="BQ73" s="282"/>
      <c r="BR73" s="282"/>
      <c r="BS73" s="282"/>
      <c r="BT73" s="359"/>
      <c r="BU73" s="282"/>
      <c r="BV73" s="282"/>
      <c r="BW73" s="282"/>
      <c r="BX73" s="282"/>
      <c r="BY73" s="282"/>
      <c r="BZ73" s="282"/>
      <c r="CA73" s="282"/>
      <c r="CB73" s="282"/>
      <c r="CC73" s="282"/>
      <c r="CD73" s="282"/>
      <c r="CE73" s="282"/>
      <c r="CF73" s="282"/>
      <c r="CG73" s="282"/>
      <c r="CH73" s="282"/>
      <c r="CI73" s="282"/>
      <c r="CJ73" s="282"/>
      <c r="CK73" s="282"/>
      <c r="CL73" s="282"/>
      <c r="CM73" s="282"/>
      <c r="CN73" s="282"/>
      <c r="CO73" s="282"/>
      <c r="CP73" s="282"/>
      <c r="CQ73" s="282"/>
      <c r="CR73" s="282"/>
      <c r="CS73" s="282"/>
      <c r="CT73" s="282"/>
      <c r="CU73" s="282"/>
      <c r="CV73" s="282"/>
      <c r="CW73" s="282"/>
      <c r="CX73" s="282"/>
      <c r="CY73" s="282"/>
      <c r="CZ73" s="282"/>
      <c r="DA73" s="282"/>
      <c r="DB73" s="282"/>
      <c r="DC73" s="282"/>
      <c r="DD73" s="282"/>
      <c r="DE73" s="282"/>
      <c r="DF73" s="282"/>
      <c r="DG73" s="282"/>
      <c r="DH73" s="282"/>
      <c r="DI73" s="282"/>
      <c r="DJ73" s="282"/>
      <c r="DK73" s="282"/>
      <c r="DL73" s="282"/>
      <c r="DM73" s="282"/>
      <c r="DN73" s="282"/>
      <c r="DO73" s="282"/>
      <c r="DP73" s="282"/>
      <c r="DQ73" s="282"/>
      <c r="DR73" s="282"/>
      <c r="DS73" s="282"/>
      <c r="DT73" s="282"/>
      <c r="DU73" s="282"/>
      <c r="DV73" s="282"/>
      <c r="DW73" s="282"/>
      <c r="DX73" s="282"/>
      <c r="DY73" s="282"/>
      <c r="DZ73" s="282"/>
      <c r="EA73" s="282"/>
      <c r="EB73" s="282"/>
      <c r="EC73" s="282"/>
      <c r="ED73" s="282"/>
      <c r="EE73" s="282"/>
      <c r="EF73" s="282"/>
      <c r="EG73" s="282"/>
      <c r="EH73" s="282"/>
      <c r="EI73" s="282"/>
      <c r="EJ73" s="282"/>
      <c r="EK73" s="282"/>
      <c r="EL73" s="282"/>
      <c r="EM73" s="282"/>
      <c r="EN73" s="282"/>
      <c r="EO73" s="282"/>
      <c r="EP73" s="282"/>
      <c r="EQ73" s="282"/>
      <c r="ER73" s="282"/>
      <c r="ES73" s="282"/>
      <c r="ET73" s="282"/>
      <c r="EU73" s="282"/>
      <c r="EV73" s="282"/>
      <c r="EW73" s="282"/>
      <c r="EX73" s="282"/>
      <c r="EY73" s="282"/>
      <c r="EZ73" s="282"/>
      <c r="FA73" s="282"/>
    </row>
    <row r="74" spans="1:157" x14ac:dyDescent="0.3">
      <c r="A74" s="365"/>
      <c r="B74" s="365"/>
      <c r="C74" s="365"/>
      <c r="D74" s="365"/>
      <c r="E74" s="365"/>
      <c r="F74" s="365"/>
      <c r="G74" s="365"/>
      <c r="H74" s="365"/>
      <c r="I74" s="365"/>
      <c r="J74" s="365"/>
      <c r="K74" s="365"/>
      <c r="L74" s="365"/>
      <c r="M74" s="365"/>
      <c r="N74" s="365"/>
      <c r="O74" s="365"/>
      <c r="P74" s="365"/>
      <c r="Q74" s="365"/>
      <c r="R74" s="365"/>
      <c r="S74" s="365"/>
      <c r="T74" s="365"/>
      <c r="U74" s="365"/>
      <c r="V74" s="365"/>
      <c r="W74" s="365"/>
      <c r="X74" s="365"/>
      <c r="Y74" s="365"/>
      <c r="Z74" s="365"/>
      <c r="AA74" s="365"/>
      <c r="AB74" s="365"/>
      <c r="AC74" s="365"/>
      <c r="AD74" s="282"/>
      <c r="AE74" s="282"/>
      <c r="AF74" s="282"/>
      <c r="AG74" s="282"/>
      <c r="AH74" s="282"/>
      <c r="AI74" s="282"/>
      <c r="AJ74" s="282"/>
      <c r="AK74" s="282"/>
      <c r="AL74" s="282"/>
      <c r="AM74" s="282"/>
      <c r="AN74" s="282"/>
      <c r="AO74" s="282"/>
      <c r="AP74" s="282"/>
      <c r="AQ74" s="282"/>
      <c r="AR74" s="282"/>
      <c r="AS74" s="282"/>
      <c r="AT74" s="282"/>
      <c r="AU74" s="282"/>
      <c r="AV74" s="282"/>
      <c r="AW74" s="282"/>
      <c r="AX74" s="282"/>
      <c r="AY74" s="282"/>
      <c r="AZ74" s="282"/>
      <c r="BA74" s="282"/>
      <c r="BB74" s="282"/>
      <c r="BC74" s="282"/>
      <c r="BD74" s="282"/>
      <c r="BE74" s="282"/>
      <c r="BF74" s="282"/>
      <c r="BG74" s="282"/>
      <c r="BH74" s="282"/>
      <c r="BI74" s="282"/>
      <c r="BJ74" s="282"/>
      <c r="BK74" s="282"/>
      <c r="BL74" s="282"/>
      <c r="BM74" s="282"/>
      <c r="BN74" s="282"/>
      <c r="BO74" s="282"/>
      <c r="BP74" s="282"/>
      <c r="BQ74" s="282"/>
      <c r="BR74" s="282"/>
      <c r="BS74" s="282"/>
      <c r="BT74" s="359"/>
      <c r="BU74" s="282"/>
      <c r="BV74" s="282"/>
      <c r="BW74" s="282"/>
      <c r="BX74" s="282"/>
      <c r="BY74" s="282"/>
      <c r="BZ74" s="282"/>
      <c r="CA74" s="282"/>
      <c r="CB74" s="282"/>
      <c r="CC74" s="282"/>
      <c r="CD74" s="282"/>
      <c r="CE74" s="282"/>
      <c r="CF74" s="282"/>
      <c r="CG74" s="282"/>
      <c r="CH74" s="282"/>
      <c r="CI74" s="282"/>
      <c r="CJ74" s="282"/>
      <c r="CK74" s="282"/>
      <c r="CL74" s="282"/>
      <c r="CM74" s="282"/>
      <c r="CN74" s="282"/>
      <c r="CO74" s="282"/>
      <c r="CP74" s="282"/>
      <c r="CQ74" s="282"/>
      <c r="CR74" s="282"/>
      <c r="CS74" s="282"/>
      <c r="CT74" s="282"/>
      <c r="CU74" s="282"/>
      <c r="CV74" s="282"/>
      <c r="CW74" s="282"/>
      <c r="CX74" s="282"/>
      <c r="CY74" s="282"/>
      <c r="CZ74" s="282"/>
      <c r="DA74" s="282"/>
      <c r="DB74" s="282"/>
      <c r="DC74" s="282"/>
      <c r="DD74" s="282"/>
      <c r="DE74" s="282"/>
      <c r="DF74" s="282"/>
      <c r="DG74" s="282"/>
      <c r="DH74" s="282"/>
      <c r="DI74" s="282"/>
      <c r="DJ74" s="282"/>
      <c r="DK74" s="282"/>
      <c r="DL74" s="282"/>
      <c r="DM74" s="282"/>
      <c r="DN74" s="282"/>
      <c r="DO74" s="282"/>
      <c r="DP74" s="282"/>
      <c r="DQ74" s="282"/>
      <c r="DR74" s="282"/>
      <c r="DS74" s="282"/>
      <c r="DT74" s="282"/>
      <c r="DU74" s="282"/>
      <c r="DV74" s="282"/>
      <c r="DW74" s="282"/>
      <c r="DX74" s="282"/>
      <c r="DY74" s="282"/>
      <c r="DZ74" s="282"/>
      <c r="EA74" s="282"/>
      <c r="EB74" s="282"/>
      <c r="EC74" s="282"/>
      <c r="ED74" s="282"/>
      <c r="EE74" s="282"/>
      <c r="EF74" s="282"/>
      <c r="EG74" s="282"/>
      <c r="EH74" s="282"/>
      <c r="EI74" s="282"/>
      <c r="EJ74" s="282"/>
      <c r="EK74" s="282"/>
      <c r="EL74" s="282"/>
      <c r="EM74" s="282"/>
      <c r="EN74" s="282"/>
      <c r="EO74" s="282"/>
      <c r="EP74" s="282"/>
      <c r="EQ74" s="282"/>
      <c r="ER74" s="282"/>
      <c r="ES74" s="282"/>
      <c r="ET74" s="282"/>
      <c r="EU74" s="282"/>
      <c r="EV74" s="282"/>
      <c r="EW74" s="282"/>
      <c r="EX74" s="282"/>
      <c r="EY74" s="282"/>
      <c r="EZ74" s="282"/>
      <c r="FA74" s="282"/>
    </row>
    <row r="75" spans="1:157" x14ac:dyDescent="0.3">
      <c r="A75" s="365"/>
      <c r="B75" s="365"/>
      <c r="C75" s="365"/>
      <c r="D75" s="365"/>
      <c r="E75" s="365"/>
      <c r="F75" s="365"/>
      <c r="G75" s="365"/>
      <c r="H75" s="365"/>
      <c r="I75" s="365"/>
      <c r="J75" s="365"/>
      <c r="K75" s="365"/>
      <c r="L75" s="365"/>
      <c r="M75" s="365"/>
      <c r="N75" s="365"/>
      <c r="O75" s="365"/>
      <c r="P75" s="365"/>
      <c r="Q75" s="365"/>
      <c r="R75" s="365"/>
      <c r="S75" s="365"/>
      <c r="T75" s="365"/>
      <c r="U75" s="365"/>
      <c r="V75" s="365"/>
      <c r="W75" s="365"/>
      <c r="X75" s="365"/>
      <c r="Y75" s="365"/>
      <c r="Z75" s="365"/>
      <c r="AA75" s="365"/>
      <c r="AB75" s="365"/>
      <c r="AC75" s="365"/>
      <c r="AD75" s="282"/>
      <c r="AE75" s="282"/>
      <c r="AF75" s="282"/>
      <c r="AG75" s="282"/>
      <c r="AH75" s="282"/>
      <c r="AI75" s="282"/>
      <c r="AJ75" s="282"/>
      <c r="AK75" s="282"/>
      <c r="AL75" s="282"/>
      <c r="AM75" s="282"/>
      <c r="AN75" s="282"/>
      <c r="AO75" s="282"/>
      <c r="AP75" s="282"/>
      <c r="AQ75" s="282"/>
      <c r="AR75" s="282"/>
      <c r="AS75" s="282"/>
      <c r="AT75" s="282"/>
      <c r="AU75" s="282"/>
      <c r="AV75" s="282"/>
      <c r="AW75" s="282"/>
      <c r="AX75" s="282"/>
      <c r="AY75" s="282"/>
      <c r="AZ75" s="282"/>
      <c r="BA75" s="282"/>
      <c r="BB75" s="282"/>
      <c r="BC75" s="282"/>
      <c r="BD75" s="282"/>
      <c r="BE75" s="282"/>
      <c r="BF75" s="282"/>
      <c r="BG75" s="282"/>
      <c r="BH75" s="282"/>
      <c r="BI75" s="282"/>
      <c r="BJ75" s="282"/>
      <c r="BK75" s="282"/>
      <c r="BL75" s="282"/>
      <c r="BM75" s="282"/>
      <c r="BN75" s="282"/>
      <c r="BO75" s="282"/>
      <c r="BP75" s="282"/>
      <c r="BQ75" s="282"/>
      <c r="BR75" s="282"/>
      <c r="BS75" s="282"/>
      <c r="BT75" s="359"/>
      <c r="BU75" s="282"/>
      <c r="BV75" s="282"/>
      <c r="BW75" s="282"/>
      <c r="BX75" s="282"/>
      <c r="BY75" s="282"/>
      <c r="BZ75" s="282"/>
      <c r="CA75" s="282"/>
      <c r="CB75" s="282"/>
      <c r="CC75" s="282"/>
      <c r="CD75" s="282"/>
      <c r="CE75" s="282"/>
      <c r="CF75" s="282"/>
      <c r="CG75" s="282"/>
      <c r="CH75" s="282"/>
      <c r="CI75" s="282"/>
      <c r="CJ75" s="282"/>
      <c r="CK75" s="282"/>
      <c r="CL75" s="282"/>
      <c r="CM75" s="282"/>
      <c r="CN75" s="282"/>
      <c r="CO75" s="282"/>
      <c r="CP75" s="282"/>
      <c r="CQ75" s="282"/>
      <c r="CR75" s="282"/>
      <c r="CS75" s="282"/>
      <c r="CT75" s="282"/>
      <c r="CU75" s="282"/>
      <c r="CV75" s="282"/>
      <c r="CW75" s="282"/>
      <c r="CX75" s="282"/>
      <c r="CY75" s="282"/>
      <c r="CZ75" s="282"/>
      <c r="DA75" s="282"/>
      <c r="DB75" s="282"/>
      <c r="DC75" s="282"/>
      <c r="DD75" s="282"/>
      <c r="DE75" s="282"/>
      <c r="DF75" s="282"/>
      <c r="DG75" s="282"/>
      <c r="DH75" s="282"/>
      <c r="DI75" s="282"/>
      <c r="DJ75" s="282"/>
      <c r="DK75" s="282"/>
      <c r="DL75" s="282"/>
      <c r="DM75" s="282"/>
      <c r="DN75" s="282"/>
      <c r="DO75" s="282"/>
      <c r="DP75" s="282"/>
      <c r="DQ75" s="282"/>
      <c r="DR75" s="282"/>
      <c r="DS75" s="282"/>
      <c r="DT75" s="282"/>
      <c r="DU75" s="282"/>
      <c r="DV75" s="282"/>
      <c r="DW75" s="282"/>
      <c r="DX75" s="282"/>
      <c r="DY75" s="282"/>
      <c r="DZ75" s="282"/>
      <c r="EA75" s="282"/>
      <c r="EB75" s="282"/>
      <c r="EC75" s="282"/>
      <c r="ED75" s="282"/>
      <c r="EE75" s="282"/>
      <c r="EF75" s="282"/>
      <c r="EG75" s="282"/>
      <c r="EH75" s="282"/>
      <c r="EI75" s="282"/>
      <c r="EJ75" s="282"/>
      <c r="EK75" s="282"/>
      <c r="EL75" s="282"/>
      <c r="EM75" s="282"/>
      <c r="EN75" s="282"/>
      <c r="EO75" s="282"/>
      <c r="EP75" s="282"/>
      <c r="EQ75" s="282"/>
      <c r="ER75" s="282"/>
      <c r="ES75" s="282"/>
      <c r="ET75" s="282"/>
      <c r="EU75" s="282"/>
      <c r="EV75" s="282"/>
      <c r="EW75" s="282"/>
      <c r="EX75" s="282"/>
      <c r="EY75" s="282"/>
      <c r="EZ75" s="282"/>
      <c r="FA75" s="282"/>
    </row>
    <row r="76" spans="1:157" x14ac:dyDescent="0.3">
      <c r="A76" s="365"/>
      <c r="B76" s="365"/>
      <c r="C76" s="365"/>
      <c r="D76" s="365"/>
      <c r="E76" s="365"/>
      <c r="F76" s="365"/>
      <c r="G76" s="365"/>
      <c r="H76" s="365"/>
      <c r="I76" s="365"/>
      <c r="J76" s="365"/>
      <c r="K76" s="365"/>
      <c r="L76" s="365"/>
      <c r="M76" s="365"/>
      <c r="N76" s="365"/>
      <c r="O76" s="365"/>
      <c r="P76" s="365"/>
      <c r="Q76" s="365"/>
      <c r="R76" s="365"/>
      <c r="S76" s="365"/>
      <c r="T76" s="365"/>
      <c r="U76" s="365"/>
      <c r="V76" s="365"/>
      <c r="W76" s="365"/>
      <c r="X76" s="365"/>
      <c r="Y76" s="365"/>
      <c r="Z76" s="365"/>
      <c r="AA76" s="365"/>
      <c r="AB76" s="365"/>
      <c r="AC76" s="365"/>
      <c r="AD76" s="282"/>
      <c r="AE76" s="282"/>
      <c r="AF76" s="282"/>
      <c r="AG76" s="282"/>
      <c r="AH76" s="282"/>
      <c r="AI76" s="282"/>
      <c r="AJ76" s="282"/>
      <c r="AK76" s="282"/>
      <c r="AL76" s="282"/>
      <c r="AM76" s="282"/>
      <c r="AN76" s="282"/>
      <c r="AO76" s="282"/>
      <c r="AP76" s="282"/>
      <c r="AQ76" s="282"/>
      <c r="AR76" s="282"/>
      <c r="AS76" s="282"/>
      <c r="AT76" s="282"/>
      <c r="AU76" s="282"/>
      <c r="AV76" s="282"/>
      <c r="AW76" s="282"/>
      <c r="AX76" s="282"/>
      <c r="AY76" s="282"/>
      <c r="AZ76" s="282"/>
      <c r="BA76" s="282"/>
      <c r="BB76" s="282"/>
      <c r="BC76" s="282"/>
      <c r="BD76" s="282"/>
      <c r="BE76" s="282"/>
      <c r="BF76" s="282"/>
      <c r="BG76" s="282"/>
      <c r="BH76" s="282"/>
      <c r="BI76" s="282"/>
      <c r="BJ76" s="282"/>
      <c r="BK76" s="282"/>
      <c r="BL76" s="282"/>
      <c r="BM76" s="282"/>
      <c r="BN76" s="282"/>
      <c r="BO76" s="282"/>
      <c r="BP76" s="282"/>
      <c r="BQ76" s="282"/>
      <c r="BR76" s="282"/>
      <c r="BS76" s="282"/>
      <c r="BT76" s="359"/>
      <c r="BU76" s="282"/>
      <c r="BV76" s="282"/>
      <c r="BW76" s="282"/>
      <c r="BX76" s="282"/>
      <c r="BY76" s="282"/>
      <c r="BZ76" s="282"/>
      <c r="CA76" s="282"/>
      <c r="CB76" s="282"/>
      <c r="CC76" s="282"/>
      <c r="CD76" s="282"/>
      <c r="CE76" s="282"/>
      <c r="CF76" s="282"/>
      <c r="CG76" s="282"/>
      <c r="CH76" s="282"/>
      <c r="CI76" s="282"/>
      <c r="CJ76" s="282"/>
      <c r="CK76" s="282"/>
      <c r="CL76" s="282"/>
      <c r="CM76" s="282"/>
      <c r="CN76" s="282"/>
      <c r="CO76" s="282"/>
      <c r="CP76" s="282"/>
      <c r="CQ76" s="282"/>
      <c r="CR76" s="282"/>
      <c r="CS76" s="282"/>
      <c r="CT76" s="282"/>
      <c r="CU76" s="282"/>
      <c r="CV76" s="282"/>
      <c r="CW76" s="282"/>
      <c r="CX76" s="282"/>
      <c r="CY76" s="282"/>
      <c r="CZ76" s="282"/>
      <c r="DA76" s="282"/>
      <c r="DB76" s="282"/>
      <c r="DC76" s="282"/>
      <c r="DD76" s="282"/>
      <c r="DE76" s="282"/>
      <c r="DF76" s="282"/>
      <c r="DG76" s="282"/>
      <c r="DH76" s="282"/>
      <c r="DI76" s="282"/>
      <c r="DJ76" s="282"/>
      <c r="DK76" s="282"/>
      <c r="DL76" s="282"/>
      <c r="DM76" s="282"/>
      <c r="DN76" s="282"/>
      <c r="DO76" s="282"/>
      <c r="DP76" s="282"/>
      <c r="DQ76" s="282"/>
      <c r="DR76" s="282"/>
      <c r="DS76" s="282"/>
      <c r="DT76" s="282"/>
      <c r="DU76" s="282"/>
      <c r="DV76" s="282"/>
      <c r="DW76" s="282"/>
      <c r="DX76" s="282"/>
      <c r="DY76" s="282"/>
      <c r="DZ76" s="282"/>
      <c r="EA76" s="282"/>
      <c r="EB76" s="282"/>
      <c r="EC76" s="282"/>
      <c r="ED76" s="282"/>
      <c r="EE76" s="282"/>
      <c r="EF76" s="282"/>
      <c r="EG76" s="282"/>
      <c r="EH76" s="282"/>
      <c r="EI76" s="282"/>
      <c r="EJ76" s="282"/>
      <c r="EK76" s="282"/>
      <c r="EL76" s="282"/>
      <c r="EM76" s="282"/>
      <c r="EN76" s="282"/>
      <c r="EO76" s="282"/>
      <c r="EP76" s="282"/>
      <c r="EQ76" s="282"/>
      <c r="ER76" s="282"/>
      <c r="ES76" s="282"/>
      <c r="ET76" s="282"/>
      <c r="EU76" s="282"/>
      <c r="EV76" s="282"/>
      <c r="EW76" s="282"/>
      <c r="EX76" s="282"/>
      <c r="EY76" s="282"/>
      <c r="EZ76" s="282"/>
      <c r="FA76" s="282"/>
    </row>
    <row r="77" spans="1:157" x14ac:dyDescent="0.3">
      <c r="EX77" s="282"/>
      <c r="EY77" s="282"/>
      <c r="EZ77" s="282"/>
      <c r="FA77" s="282"/>
    </row>
    <row r="78" spans="1:157" x14ac:dyDescent="0.3">
      <c r="EX78" s="282"/>
      <c r="EY78" s="282"/>
      <c r="EZ78" s="282"/>
      <c r="FA78" s="282"/>
    </row>
    <row r="79" spans="1:157" x14ac:dyDescent="0.3">
      <c r="EX79" s="282"/>
      <c r="EY79" s="282"/>
      <c r="EZ79" s="282"/>
      <c r="FA79" s="282"/>
    </row>
    <row r="80" spans="1:157" x14ac:dyDescent="0.3">
      <c r="EX80" s="282"/>
      <c r="EY80" s="282"/>
      <c r="EZ80" s="282"/>
      <c r="FA80" s="282"/>
    </row>
    <row r="81" spans="154:157" x14ac:dyDescent="0.3">
      <c r="EX81" s="282"/>
      <c r="EY81" s="282"/>
      <c r="EZ81" s="282"/>
      <c r="FA81" s="282"/>
    </row>
    <row r="82" spans="154:157" x14ac:dyDescent="0.3">
      <c r="EX82" s="282"/>
      <c r="EY82" s="282"/>
      <c r="EZ82" s="282"/>
      <c r="FA82" s="282"/>
    </row>
    <row r="83" spans="154:157" x14ac:dyDescent="0.3">
      <c r="EX83" s="282"/>
      <c r="EY83" s="282"/>
      <c r="EZ83" s="282"/>
      <c r="FA83" s="282"/>
    </row>
    <row r="84" spans="154:157" x14ac:dyDescent="0.3">
      <c r="EX84" s="282"/>
      <c r="EY84" s="282"/>
      <c r="EZ84" s="282"/>
      <c r="FA84" s="282"/>
    </row>
    <row r="85" spans="154:157" x14ac:dyDescent="0.3">
      <c r="EX85" s="282"/>
      <c r="EY85" s="282"/>
      <c r="EZ85" s="282"/>
      <c r="FA85" s="282"/>
    </row>
    <row r="86" spans="154:157" x14ac:dyDescent="0.3">
      <c r="EX86" s="282"/>
      <c r="EY86" s="282"/>
      <c r="EZ86" s="282"/>
      <c r="FA86" s="282"/>
    </row>
    <row r="87" spans="154:157" x14ac:dyDescent="0.3">
      <c r="EX87" s="282"/>
      <c r="EY87" s="282"/>
      <c r="EZ87" s="282"/>
      <c r="FA87" s="282"/>
    </row>
    <row r="88" spans="154:157" x14ac:dyDescent="0.3">
      <c r="EX88" s="282"/>
      <c r="EY88" s="282"/>
      <c r="EZ88" s="282"/>
      <c r="FA88" s="282"/>
    </row>
    <row r="89" spans="154:157" x14ac:dyDescent="0.3">
      <c r="EX89" s="282"/>
      <c r="EY89" s="282"/>
      <c r="EZ89" s="282"/>
      <c r="FA89" s="282"/>
    </row>
    <row r="90" spans="154:157" x14ac:dyDescent="0.3">
      <c r="EX90" s="282"/>
      <c r="EY90" s="282"/>
      <c r="EZ90" s="282"/>
      <c r="FA90" s="282"/>
    </row>
    <row r="91" spans="154:157" x14ac:dyDescent="0.3">
      <c r="EX91" s="282"/>
      <c r="EY91" s="282"/>
      <c r="EZ91" s="282"/>
      <c r="FA91" s="282"/>
    </row>
    <row r="92" spans="154:157" x14ac:dyDescent="0.3">
      <c r="EX92" s="282"/>
      <c r="EY92" s="282"/>
      <c r="EZ92" s="282"/>
      <c r="FA92" s="282"/>
    </row>
    <row r="93" spans="154:157" x14ac:dyDescent="0.3">
      <c r="EX93" s="282"/>
      <c r="EY93" s="282"/>
      <c r="EZ93" s="282"/>
      <c r="FA93" s="282"/>
    </row>
    <row r="94" spans="154:157" x14ac:dyDescent="0.3">
      <c r="EX94" s="282"/>
      <c r="EY94" s="282"/>
      <c r="EZ94" s="282"/>
      <c r="FA94" s="282"/>
    </row>
    <row r="95" spans="154:157" x14ac:dyDescent="0.3">
      <c r="EX95" s="282"/>
      <c r="EY95" s="282"/>
      <c r="EZ95" s="282"/>
      <c r="FA95" s="282"/>
    </row>
    <row r="96" spans="154:157" x14ac:dyDescent="0.3">
      <c r="EX96" s="282"/>
      <c r="EY96" s="282"/>
      <c r="EZ96" s="282"/>
      <c r="FA96" s="282"/>
    </row>
    <row r="97" spans="154:157" x14ac:dyDescent="0.3">
      <c r="EX97" s="282"/>
      <c r="EY97" s="282"/>
      <c r="EZ97" s="282"/>
      <c r="FA97" s="282"/>
    </row>
    <row r="98" spans="154:157" x14ac:dyDescent="0.3">
      <c r="EX98" s="282"/>
      <c r="EY98" s="282"/>
      <c r="EZ98" s="282"/>
      <c r="FA98" s="282"/>
    </row>
    <row r="99" spans="154:157" x14ac:dyDescent="0.3">
      <c r="EX99" s="282"/>
      <c r="EY99" s="282"/>
      <c r="EZ99" s="282"/>
      <c r="FA99" s="282"/>
    </row>
    <row r="100" spans="154:157" x14ac:dyDescent="0.3">
      <c r="EX100" s="282"/>
      <c r="EY100" s="282"/>
      <c r="EZ100" s="282"/>
      <c r="FA100" s="282"/>
    </row>
    <row r="101" spans="154:157" x14ac:dyDescent="0.3">
      <c r="EX101" s="282"/>
      <c r="EY101" s="282"/>
      <c r="EZ101" s="282"/>
      <c r="FA101" s="282"/>
    </row>
    <row r="102" spans="154:157" x14ac:dyDescent="0.3">
      <c r="EX102" s="282"/>
      <c r="EY102" s="282"/>
      <c r="EZ102" s="282"/>
      <c r="FA102" s="282"/>
    </row>
    <row r="103" spans="154:157" x14ac:dyDescent="0.3">
      <c r="EX103" s="282"/>
      <c r="EY103" s="282"/>
      <c r="EZ103" s="282"/>
      <c r="FA103" s="282"/>
    </row>
    <row r="104" spans="154:157" x14ac:dyDescent="0.3">
      <c r="EX104" s="282"/>
      <c r="EY104" s="282"/>
      <c r="EZ104" s="282"/>
      <c r="FA104" s="282"/>
    </row>
    <row r="105" spans="154:157" x14ac:dyDescent="0.3">
      <c r="EX105" s="282"/>
      <c r="EY105" s="282"/>
      <c r="EZ105" s="282"/>
      <c r="FA105" s="282"/>
    </row>
    <row r="106" spans="154:157" x14ac:dyDescent="0.3">
      <c r="EX106" s="282"/>
      <c r="EY106" s="282"/>
      <c r="EZ106" s="282"/>
      <c r="FA106" s="282"/>
    </row>
    <row r="107" spans="154:157" x14ac:dyDescent="0.3">
      <c r="EX107" s="282"/>
      <c r="EY107" s="282"/>
      <c r="EZ107" s="282"/>
      <c r="FA107" s="282"/>
    </row>
    <row r="108" spans="154:157" x14ac:dyDescent="0.3">
      <c r="EX108" s="282"/>
      <c r="EY108" s="282"/>
      <c r="EZ108" s="282"/>
      <c r="FA108" s="282"/>
    </row>
    <row r="109" spans="154:157" x14ac:dyDescent="0.3">
      <c r="EX109" s="282"/>
      <c r="EY109" s="282"/>
      <c r="EZ109" s="282"/>
      <c r="FA109" s="282"/>
    </row>
    <row r="110" spans="154:157" x14ac:dyDescent="0.3">
      <c r="EX110" s="282"/>
      <c r="EY110" s="282"/>
      <c r="EZ110" s="282"/>
      <c r="FA110" s="282"/>
    </row>
    <row r="111" spans="154:157" x14ac:dyDescent="0.3">
      <c r="EX111" s="282"/>
      <c r="EY111" s="282"/>
      <c r="EZ111" s="282"/>
      <c r="FA111" s="282"/>
    </row>
    <row r="112" spans="154:157" x14ac:dyDescent="0.3">
      <c r="EX112" s="282"/>
      <c r="EY112" s="282"/>
      <c r="EZ112" s="282"/>
      <c r="FA112" s="282"/>
    </row>
    <row r="113" spans="154:157" x14ac:dyDescent="0.3">
      <c r="EX113" s="282"/>
      <c r="EY113" s="282"/>
      <c r="EZ113" s="282"/>
      <c r="FA113" s="282"/>
    </row>
    <row r="114" spans="154:157" x14ac:dyDescent="0.3">
      <c r="EX114" s="282"/>
      <c r="EY114" s="282"/>
      <c r="EZ114" s="282"/>
      <c r="FA114" s="282"/>
    </row>
    <row r="115" spans="154:157" x14ac:dyDescent="0.3">
      <c r="EX115" s="282"/>
      <c r="EY115" s="282"/>
      <c r="EZ115" s="282"/>
      <c r="FA115" s="282"/>
    </row>
    <row r="116" spans="154:157" x14ac:dyDescent="0.3">
      <c r="EX116" s="282"/>
      <c r="EY116" s="282"/>
      <c r="EZ116" s="282"/>
      <c r="FA116" s="282"/>
    </row>
    <row r="117" spans="154:157" x14ac:dyDescent="0.3">
      <c r="EX117" s="282"/>
      <c r="EY117" s="282"/>
      <c r="EZ117" s="282"/>
      <c r="FA117" s="282"/>
    </row>
    <row r="118" spans="154:157" x14ac:dyDescent="0.3">
      <c r="EX118" s="282"/>
      <c r="EY118" s="282"/>
      <c r="EZ118" s="282"/>
      <c r="FA118" s="282"/>
    </row>
    <row r="119" spans="154:157" x14ac:dyDescent="0.3">
      <c r="EX119" s="282"/>
      <c r="EY119" s="282"/>
      <c r="EZ119" s="282"/>
      <c r="FA119" s="282"/>
    </row>
    <row r="120" spans="154:157" x14ac:dyDescent="0.3">
      <c r="EX120" s="282"/>
      <c r="EY120" s="282"/>
      <c r="EZ120" s="282"/>
      <c r="FA120" s="282"/>
    </row>
    <row r="121" spans="154:157" x14ac:dyDescent="0.3">
      <c r="EX121" s="282"/>
      <c r="EY121" s="282"/>
      <c r="EZ121" s="282"/>
      <c r="FA121" s="282"/>
    </row>
    <row r="122" spans="154:157" x14ac:dyDescent="0.3">
      <c r="EX122" s="282"/>
      <c r="EY122" s="282"/>
      <c r="EZ122" s="282"/>
      <c r="FA122" s="282"/>
    </row>
    <row r="123" spans="154:157" x14ac:dyDescent="0.3">
      <c r="EX123" s="282"/>
      <c r="EY123" s="282"/>
      <c r="EZ123" s="282"/>
      <c r="FA123" s="282"/>
    </row>
    <row r="124" spans="154:157" x14ac:dyDescent="0.3">
      <c r="EX124" s="282"/>
      <c r="EY124" s="282"/>
      <c r="EZ124" s="282"/>
      <c r="FA124" s="282"/>
    </row>
    <row r="125" spans="154:157" x14ac:dyDescent="0.3">
      <c r="EX125" s="282"/>
      <c r="EY125" s="282"/>
      <c r="EZ125" s="282"/>
      <c r="FA125" s="282"/>
    </row>
    <row r="126" spans="154:157" x14ac:dyDescent="0.3">
      <c r="EX126" s="282"/>
      <c r="EY126" s="282"/>
      <c r="EZ126" s="282"/>
      <c r="FA126" s="282"/>
    </row>
    <row r="127" spans="154:157" x14ac:dyDescent="0.3">
      <c r="EX127" s="282"/>
      <c r="EY127" s="282"/>
      <c r="EZ127" s="282"/>
      <c r="FA127" s="282"/>
    </row>
    <row r="128" spans="154:157" x14ac:dyDescent="0.3">
      <c r="EX128" s="282"/>
      <c r="EY128" s="282"/>
      <c r="EZ128" s="282"/>
      <c r="FA128" s="282"/>
    </row>
    <row r="129" spans="154:157" x14ac:dyDescent="0.3">
      <c r="EX129" s="282"/>
      <c r="EY129" s="282"/>
      <c r="EZ129" s="282"/>
      <c r="FA129" s="282"/>
    </row>
    <row r="130" spans="154:157" x14ac:dyDescent="0.3">
      <c r="EX130" s="282"/>
      <c r="EY130" s="282"/>
      <c r="EZ130" s="282"/>
      <c r="FA130" s="282"/>
    </row>
    <row r="131" spans="154:157" x14ac:dyDescent="0.3">
      <c r="EX131" s="282"/>
      <c r="EY131" s="282"/>
      <c r="EZ131" s="282"/>
      <c r="FA131" s="282"/>
    </row>
    <row r="132" spans="154:157" x14ac:dyDescent="0.3">
      <c r="EX132" s="282"/>
      <c r="EY132" s="282"/>
      <c r="EZ132" s="282"/>
      <c r="FA132" s="282"/>
    </row>
    <row r="133" spans="154:157" x14ac:dyDescent="0.3">
      <c r="EX133" s="282"/>
      <c r="EY133" s="282"/>
      <c r="EZ133" s="282"/>
      <c r="FA133" s="282"/>
    </row>
    <row r="134" spans="154:157" x14ac:dyDescent="0.3">
      <c r="EX134" s="282"/>
      <c r="EY134" s="282"/>
      <c r="EZ134" s="282"/>
      <c r="FA134" s="282"/>
    </row>
    <row r="135" spans="154:157" x14ac:dyDescent="0.3">
      <c r="EX135" s="282"/>
      <c r="EY135" s="282"/>
      <c r="EZ135" s="282"/>
      <c r="FA135" s="282"/>
    </row>
    <row r="136" spans="154:157" x14ac:dyDescent="0.3">
      <c r="EX136" s="282"/>
      <c r="EY136" s="282"/>
      <c r="EZ136" s="282"/>
      <c r="FA136" s="282"/>
    </row>
    <row r="137" spans="154:157" x14ac:dyDescent="0.3">
      <c r="EX137" s="282"/>
      <c r="EY137" s="282"/>
      <c r="EZ137" s="282"/>
      <c r="FA137" s="282"/>
    </row>
    <row r="138" spans="154:157" x14ac:dyDescent="0.3">
      <c r="EX138" s="282"/>
      <c r="EY138" s="282"/>
      <c r="EZ138" s="282"/>
      <c r="FA138" s="282"/>
    </row>
    <row r="139" spans="154:157" x14ac:dyDescent="0.3">
      <c r="EX139" s="282"/>
      <c r="EY139" s="282"/>
      <c r="EZ139" s="282"/>
      <c r="FA139" s="282"/>
    </row>
    <row r="140" spans="154:157" x14ac:dyDescent="0.3">
      <c r="EX140" s="282"/>
      <c r="EY140" s="282"/>
      <c r="EZ140" s="282"/>
      <c r="FA140" s="282"/>
    </row>
    <row r="141" spans="154:157" x14ac:dyDescent="0.3">
      <c r="EX141" s="282"/>
      <c r="EY141" s="282"/>
      <c r="EZ141" s="282"/>
      <c r="FA141" s="282"/>
    </row>
    <row r="142" spans="154:157" x14ac:dyDescent="0.3">
      <c r="EX142" s="282"/>
      <c r="EY142" s="282"/>
      <c r="EZ142" s="282"/>
      <c r="FA142" s="282"/>
    </row>
    <row r="143" spans="154:157" x14ac:dyDescent="0.3">
      <c r="EX143" s="282"/>
      <c r="EY143" s="282"/>
      <c r="EZ143" s="282"/>
      <c r="FA143" s="282"/>
    </row>
    <row r="144" spans="154:157" x14ac:dyDescent="0.3">
      <c r="EX144" s="282"/>
      <c r="EY144" s="282"/>
      <c r="EZ144" s="282"/>
      <c r="FA144" s="282"/>
    </row>
    <row r="145" spans="154:157" x14ac:dyDescent="0.3">
      <c r="EX145" s="282"/>
      <c r="EY145" s="282"/>
      <c r="EZ145" s="282"/>
      <c r="FA145" s="282"/>
    </row>
    <row r="146" spans="154:157" x14ac:dyDescent="0.3">
      <c r="EX146" s="282"/>
      <c r="EY146" s="282"/>
      <c r="EZ146" s="282"/>
      <c r="FA146" s="282"/>
    </row>
    <row r="147" spans="154:157" x14ac:dyDescent="0.3">
      <c r="EX147" s="282"/>
      <c r="EY147" s="282"/>
      <c r="EZ147" s="282"/>
      <c r="FA147" s="282"/>
    </row>
    <row r="148" spans="154:157" x14ac:dyDescent="0.3">
      <c r="EX148" s="282"/>
      <c r="EY148" s="282"/>
      <c r="EZ148" s="282"/>
      <c r="FA148" s="282"/>
    </row>
    <row r="149" spans="154:157" x14ac:dyDescent="0.3">
      <c r="EX149" s="282"/>
      <c r="EY149" s="282"/>
      <c r="EZ149" s="282"/>
      <c r="FA149" s="282"/>
    </row>
    <row r="150" spans="154:157" x14ac:dyDescent="0.3">
      <c r="EX150" s="282"/>
      <c r="EY150" s="282"/>
      <c r="EZ150" s="282"/>
      <c r="FA150" s="282"/>
    </row>
    <row r="151" spans="154:157" x14ac:dyDescent="0.3">
      <c r="EX151" s="282"/>
      <c r="EY151" s="282"/>
      <c r="EZ151" s="282"/>
      <c r="FA151" s="282"/>
    </row>
    <row r="152" spans="154:157" x14ac:dyDescent="0.3">
      <c r="EX152" s="282"/>
      <c r="EY152" s="282"/>
      <c r="EZ152" s="282"/>
      <c r="FA152" s="282"/>
    </row>
    <row r="153" spans="154:157" x14ac:dyDescent="0.3">
      <c r="EX153" s="282"/>
      <c r="EY153" s="282"/>
      <c r="EZ153" s="282"/>
      <c r="FA153" s="282"/>
    </row>
    <row r="154" spans="154:157" x14ac:dyDescent="0.3">
      <c r="EX154" s="282"/>
      <c r="EY154" s="282"/>
      <c r="EZ154" s="282"/>
      <c r="FA154" s="282"/>
    </row>
    <row r="155" spans="154:157" x14ac:dyDescent="0.3">
      <c r="EX155" s="282"/>
      <c r="EY155" s="282"/>
      <c r="EZ155" s="282"/>
      <c r="FA155" s="282"/>
    </row>
    <row r="156" spans="154:157" x14ac:dyDescent="0.3">
      <c r="EX156" s="282"/>
      <c r="EY156" s="282"/>
      <c r="EZ156" s="282"/>
      <c r="FA156" s="282"/>
    </row>
    <row r="157" spans="154:157" x14ac:dyDescent="0.3">
      <c r="EX157" s="282"/>
      <c r="EY157" s="282"/>
      <c r="EZ157" s="282"/>
      <c r="FA157" s="282"/>
    </row>
    <row r="158" spans="154:157" x14ac:dyDescent="0.3">
      <c r="EX158" s="282"/>
      <c r="EY158" s="282"/>
      <c r="EZ158" s="282"/>
      <c r="FA158" s="282"/>
    </row>
    <row r="159" spans="154:157" x14ac:dyDescent="0.3">
      <c r="EX159" s="282"/>
      <c r="EY159" s="282"/>
      <c r="EZ159" s="282"/>
      <c r="FA159" s="282"/>
    </row>
    <row r="160" spans="154:157" x14ac:dyDescent="0.3">
      <c r="EX160" s="282"/>
      <c r="EY160" s="282"/>
      <c r="EZ160" s="282"/>
      <c r="FA160" s="282"/>
    </row>
    <row r="161" spans="154:157" x14ac:dyDescent="0.3">
      <c r="EX161" s="282"/>
      <c r="EY161" s="282"/>
      <c r="EZ161" s="282"/>
      <c r="FA161" s="282"/>
    </row>
    <row r="162" spans="154:157" x14ac:dyDescent="0.3">
      <c r="EX162" s="282"/>
      <c r="EY162" s="282"/>
      <c r="EZ162" s="282"/>
      <c r="FA162" s="282"/>
    </row>
    <row r="163" spans="154:157" x14ac:dyDescent="0.3">
      <c r="EX163" s="282"/>
      <c r="EY163" s="282"/>
      <c r="EZ163" s="282"/>
      <c r="FA163" s="282"/>
    </row>
    <row r="164" spans="154:157" x14ac:dyDescent="0.3">
      <c r="EX164" s="282"/>
      <c r="EY164" s="282"/>
      <c r="EZ164" s="282"/>
      <c r="FA164" s="282"/>
    </row>
    <row r="165" spans="154:157" x14ac:dyDescent="0.3">
      <c r="EX165" s="282"/>
      <c r="EY165" s="282"/>
      <c r="EZ165" s="282"/>
      <c r="FA165" s="282"/>
    </row>
    <row r="166" spans="154:157" x14ac:dyDescent="0.3">
      <c r="EX166" s="282"/>
      <c r="EY166" s="282"/>
      <c r="EZ166" s="282"/>
      <c r="FA166" s="282"/>
    </row>
    <row r="167" spans="154:157" x14ac:dyDescent="0.3">
      <c r="EX167" s="282"/>
      <c r="EY167" s="282"/>
      <c r="EZ167" s="282"/>
      <c r="FA167" s="282"/>
    </row>
    <row r="168" spans="154:157" x14ac:dyDescent="0.3">
      <c r="EX168" s="282"/>
      <c r="EY168" s="282"/>
      <c r="EZ168" s="282"/>
      <c r="FA168" s="282"/>
    </row>
    <row r="169" spans="154:157" x14ac:dyDescent="0.3">
      <c r="EX169" s="282"/>
      <c r="EY169" s="282"/>
      <c r="EZ169" s="282"/>
      <c r="FA169" s="282"/>
    </row>
    <row r="170" spans="154:157" x14ac:dyDescent="0.3">
      <c r="EX170" s="282"/>
      <c r="EY170" s="282"/>
      <c r="EZ170" s="282"/>
      <c r="FA170" s="282"/>
    </row>
    <row r="171" spans="154:157" x14ac:dyDescent="0.3">
      <c r="EX171" s="282"/>
      <c r="EY171" s="282"/>
      <c r="EZ171" s="282"/>
      <c r="FA171" s="282"/>
    </row>
    <row r="172" spans="154:157" x14ac:dyDescent="0.3">
      <c r="EX172" s="282"/>
      <c r="EY172" s="282"/>
      <c r="EZ172" s="282"/>
      <c r="FA172" s="282"/>
    </row>
    <row r="173" spans="154:157" x14ac:dyDescent="0.3">
      <c r="EX173" s="282"/>
      <c r="EY173" s="282"/>
      <c r="EZ173" s="282"/>
      <c r="FA173" s="282"/>
    </row>
    <row r="174" spans="154:157" x14ac:dyDescent="0.3">
      <c r="EX174" s="282"/>
      <c r="EY174" s="282"/>
      <c r="EZ174" s="282"/>
      <c r="FA174" s="282"/>
    </row>
    <row r="175" spans="154:157" x14ac:dyDescent="0.3">
      <c r="EX175" s="282"/>
      <c r="EY175" s="282"/>
      <c r="EZ175" s="282"/>
      <c r="FA175" s="282"/>
    </row>
    <row r="176" spans="154:157" x14ac:dyDescent="0.3">
      <c r="EX176" s="282"/>
      <c r="EY176" s="282"/>
      <c r="EZ176" s="282"/>
      <c r="FA176" s="282"/>
    </row>
    <row r="177" spans="154:157" x14ac:dyDescent="0.3">
      <c r="EX177" s="282"/>
      <c r="EY177" s="282"/>
      <c r="EZ177" s="282"/>
      <c r="FA177" s="282"/>
    </row>
    <row r="178" spans="154:157" x14ac:dyDescent="0.3">
      <c r="EX178" s="282"/>
      <c r="EY178" s="282"/>
      <c r="EZ178" s="282"/>
      <c r="FA178" s="282"/>
    </row>
    <row r="179" spans="154:157" x14ac:dyDescent="0.3">
      <c r="EX179" s="282"/>
      <c r="EY179" s="282"/>
      <c r="EZ179" s="282"/>
      <c r="FA179" s="282"/>
    </row>
    <row r="180" spans="154:157" x14ac:dyDescent="0.3">
      <c r="EX180" s="282"/>
      <c r="EY180" s="282"/>
      <c r="EZ180" s="282"/>
      <c r="FA180" s="282"/>
    </row>
    <row r="181" spans="154:157" x14ac:dyDescent="0.3">
      <c r="EX181" s="282"/>
      <c r="EY181" s="282"/>
      <c r="EZ181" s="282"/>
      <c r="FA181" s="282"/>
    </row>
    <row r="182" spans="154:157" x14ac:dyDescent="0.3">
      <c r="EX182" s="282"/>
      <c r="EY182" s="282"/>
      <c r="EZ182" s="282"/>
      <c r="FA182" s="282"/>
    </row>
    <row r="183" spans="154:157" x14ac:dyDescent="0.3">
      <c r="EX183" s="282"/>
      <c r="EY183" s="282"/>
      <c r="EZ183" s="282"/>
      <c r="FA183" s="282"/>
    </row>
    <row r="184" spans="154:157" x14ac:dyDescent="0.3">
      <c r="EX184" s="282"/>
      <c r="EY184" s="282"/>
      <c r="EZ184" s="282"/>
      <c r="FA184" s="282"/>
    </row>
    <row r="185" spans="154:157" x14ac:dyDescent="0.3">
      <c r="EX185" s="282"/>
      <c r="EY185" s="282"/>
      <c r="EZ185" s="282"/>
      <c r="FA185" s="282"/>
    </row>
    <row r="186" spans="154:157" x14ac:dyDescent="0.3">
      <c r="EX186" s="282"/>
      <c r="EY186" s="282"/>
      <c r="EZ186" s="282"/>
      <c r="FA186" s="282"/>
    </row>
    <row r="187" spans="154:157" x14ac:dyDescent="0.3">
      <c r="EX187" s="282"/>
      <c r="EY187" s="282"/>
      <c r="EZ187" s="282"/>
      <c r="FA187" s="282"/>
    </row>
    <row r="188" spans="154:157" x14ac:dyDescent="0.3">
      <c r="EX188" s="282"/>
      <c r="EY188" s="282"/>
      <c r="EZ188" s="282"/>
      <c r="FA188" s="282"/>
    </row>
    <row r="189" spans="154:157" x14ac:dyDescent="0.3">
      <c r="EX189" s="282"/>
      <c r="EY189" s="282"/>
      <c r="EZ189" s="282"/>
      <c r="FA189" s="282"/>
    </row>
    <row r="190" spans="154:157" x14ac:dyDescent="0.3">
      <c r="EX190" s="282"/>
      <c r="EY190" s="282"/>
      <c r="EZ190" s="282"/>
      <c r="FA190" s="282"/>
    </row>
    <row r="191" spans="154:157" x14ac:dyDescent="0.3">
      <c r="EX191" s="282"/>
      <c r="EY191" s="282"/>
      <c r="EZ191" s="282"/>
      <c r="FA191" s="282"/>
    </row>
    <row r="192" spans="154:157" x14ac:dyDescent="0.3">
      <c r="EX192" s="282"/>
      <c r="EY192" s="282"/>
      <c r="EZ192" s="282"/>
      <c r="FA192" s="282"/>
    </row>
    <row r="193" spans="154:157" x14ac:dyDescent="0.3">
      <c r="EX193" s="282"/>
      <c r="EY193" s="282"/>
      <c r="EZ193" s="282"/>
      <c r="FA193" s="282"/>
    </row>
    <row r="194" spans="154:157" x14ac:dyDescent="0.3">
      <c r="EX194" s="282"/>
      <c r="EY194" s="282"/>
      <c r="EZ194" s="282"/>
      <c r="FA194" s="282"/>
    </row>
    <row r="195" spans="154:157" x14ac:dyDescent="0.3">
      <c r="EX195" s="282"/>
      <c r="EY195" s="282"/>
      <c r="EZ195" s="282"/>
      <c r="FA195" s="282"/>
    </row>
    <row r="196" spans="154:157" x14ac:dyDescent="0.3">
      <c r="EX196" s="282"/>
      <c r="EY196" s="282"/>
      <c r="EZ196" s="282"/>
      <c r="FA196" s="282"/>
    </row>
    <row r="197" spans="154:157" x14ac:dyDescent="0.3">
      <c r="EX197" s="282"/>
      <c r="EY197" s="282"/>
      <c r="EZ197" s="282"/>
      <c r="FA197" s="282"/>
    </row>
    <row r="198" spans="154:157" x14ac:dyDescent="0.3">
      <c r="EX198" s="282"/>
      <c r="EY198" s="282"/>
      <c r="EZ198" s="282"/>
      <c r="FA198" s="282"/>
    </row>
    <row r="199" spans="154:157" x14ac:dyDescent="0.3">
      <c r="EX199" s="282"/>
      <c r="EY199" s="282"/>
      <c r="EZ199" s="282"/>
      <c r="FA199" s="282"/>
    </row>
    <row r="200" spans="154:157" x14ac:dyDescent="0.3">
      <c r="EX200" s="282"/>
      <c r="EY200" s="282"/>
      <c r="EZ200" s="282"/>
      <c r="FA200" s="282"/>
    </row>
    <row r="201" spans="154:157" x14ac:dyDescent="0.3">
      <c r="EX201" s="282"/>
      <c r="EY201" s="282"/>
      <c r="EZ201" s="282"/>
      <c r="FA201" s="282"/>
    </row>
    <row r="202" spans="154:157" x14ac:dyDescent="0.3">
      <c r="EX202" s="282"/>
      <c r="EY202" s="282"/>
      <c r="EZ202" s="282"/>
      <c r="FA202" s="282"/>
    </row>
    <row r="203" spans="154:157" x14ac:dyDescent="0.3">
      <c r="EX203" s="282"/>
      <c r="EY203" s="282"/>
      <c r="EZ203" s="282"/>
      <c r="FA203" s="282"/>
    </row>
    <row r="204" spans="154:157" x14ac:dyDescent="0.3">
      <c r="EX204" s="282"/>
      <c r="EY204" s="282"/>
      <c r="EZ204" s="282"/>
      <c r="FA204" s="282"/>
    </row>
    <row r="205" spans="154:157" x14ac:dyDescent="0.3">
      <c r="EX205" s="282"/>
      <c r="EY205" s="282"/>
      <c r="EZ205" s="282"/>
      <c r="FA205" s="282"/>
    </row>
    <row r="206" spans="154:157" x14ac:dyDescent="0.3">
      <c r="EX206" s="282"/>
      <c r="EY206" s="282"/>
      <c r="EZ206" s="282"/>
      <c r="FA206" s="282"/>
    </row>
    <row r="207" spans="154:157" x14ac:dyDescent="0.3">
      <c r="EX207" s="282"/>
      <c r="EY207" s="282"/>
      <c r="EZ207" s="282"/>
      <c r="FA207" s="282"/>
    </row>
    <row r="208" spans="154:157" x14ac:dyDescent="0.3">
      <c r="EX208" s="282"/>
      <c r="EY208" s="282"/>
      <c r="EZ208" s="282"/>
      <c r="FA208" s="282"/>
    </row>
    <row r="209" spans="154:157" x14ac:dyDescent="0.3">
      <c r="EX209" s="282"/>
      <c r="EY209" s="282"/>
      <c r="EZ209" s="282"/>
      <c r="FA209" s="282"/>
    </row>
    <row r="210" spans="154:157" x14ac:dyDescent="0.3">
      <c r="EX210" s="282"/>
      <c r="EY210" s="282"/>
      <c r="EZ210" s="282"/>
      <c r="FA210" s="282"/>
    </row>
    <row r="211" spans="154:157" x14ac:dyDescent="0.3">
      <c r="EX211" s="282"/>
      <c r="EY211" s="282"/>
      <c r="EZ211" s="282"/>
      <c r="FA211" s="282"/>
    </row>
    <row r="212" spans="154:157" x14ac:dyDescent="0.3">
      <c r="EX212" s="282"/>
      <c r="EY212" s="282"/>
      <c r="EZ212" s="282"/>
      <c r="FA212" s="282"/>
    </row>
    <row r="213" spans="154:157" x14ac:dyDescent="0.3">
      <c r="EX213" s="282"/>
      <c r="EY213" s="282"/>
      <c r="EZ213" s="282"/>
      <c r="FA213" s="282"/>
    </row>
  </sheetData>
  <mergeCells count="72">
    <mergeCell ref="FC30:FG30"/>
    <mergeCell ref="FC35:FH35"/>
    <mergeCell ref="FC38:FG38"/>
    <mergeCell ref="FC23:FG23"/>
    <mergeCell ref="FC24:FG24"/>
    <mergeCell ref="FC26:FH27"/>
    <mergeCell ref="FC14:FG14"/>
    <mergeCell ref="FC19:FG19"/>
    <mergeCell ref="FC18:FG18"/>
    <mergeCell ref="FC16:FG16"/>
    <mergeCell ref="FC17:FI17"/>
    <mergeCell ref="FC10:FG10"/>
    <mergeCell ref="FC11:FG11"/>
    <mergeCell ref="FC6:FG6"/>
    <mergeCell ref="FC12:FG12"/>
    <mergeCell ref="FC13:FG13"/>
    <mergeCell ref="FC5:FG5"/>
    <mergeCell ref="FC4:FG4"/>
    <mergeCell ref="FC7:FG7"/>
    <mergeCell ref="FC8:FG8"/>
    <mergeCell ref="FC9:FG9"/>
    <mergeCell ref="J3:S3"/>
    <mergeCell ref="T3:AC3"/>
    <mergeCell ref="AD3:AE3"/>
    <mergeCell ref="AT3:AT4"/>
    <mergeCell ref="BI3:BI4"/>
    <mergeCell ref="AI3:AJ3"/>
    <mergeCell ref="AQ3:AQ4"/>
    <mergeCell ref="AR3:AR4"/>
    <mergeCell ref="AS3:AS4"/>
    <mergeCell ref="BE3:BE4"/>
    <mergeCell ref="BF3:BF4"/>
    <mergeCell ref="BH3:BH4"/>
    <mergeCell ref="AF2:AR2"/>
    <mergeCell ref="T2:AE2"/>
    <mergeCell ref="J2:S2"/>
    <mergeCell ref="A2:I2"/>
    <mergeCell ref="BH2:BT2"/>
    <mergeCell ref="AS2:BG2"/>
    <mergeCell ref="DD3:DM3"/>
    <mergeCell ref="DN3:DX3"/>
    <mergeCell ref="DY3:EI3"/>
    <mergeCell ref="EY3:EY4"/>
    <mergeCell ref="BO3:BO4"/>
    <mergeCell ref="BP3:BP4"/>
    <mergeCell ref="BT3:BT4"/>
    <mergeCell ref="BQ3:BQ4"/>
    <mergeCell ref="BR3:BR4"/>
    <mergeCell ref="BS3:BS4"/>
    <mergeCell ref="CG3:CQ3"/>
    <mergeCell ref="CR3:DB3"/>
    <mergeCell ref="BJ3:BJ4"/>
    <mergeCell ref="BK3:BK4"/>
    <mergeCell ref="BL3:BL4"/>
    <mergeCell ref="BM3:BM4"/>
    <mergeCell ref="BN3:BN4"/>
    <mergeCell ref="A1:B1"/>
    <mergeCell ref="BU3:BU4"/>
    <mergeCell ref="EZ3:EZ4"/>
    <mergeCell ref="FA3:FA4"/>
    <mergeCell ref="EJ3:ET3"/>
    <mergeCell ref="EU3:EU4"/>
    <mergeCell ref="EV3:EV4"/>
    <mergeCell ref="EW3:EW4"/>
    <mergeCell ref="EX3:EX4"/>
    <mergeCell ref="DN2:EI2"/>
    <mergeCell ref="EU2:FA2"/>
    <mergeCell ref="AG3:AH3"/>
    <mergeCell ref="AM3:AN3"/>
    <mergeCell ref="AO3:AO4"/>
    <mergeCell ref="AP3:AP4"/>
    <mergeCell ref="AU3:BD3"/>
  </mergeCells>
  <phoneticPr fontId="13" type="noConversion"/>
  <conditionalFormatting sqref="AU5:BE47">
    <cfRule type="cellIs" dxfId="242" priority="16" operator="equal">
      <formula>1</formula>
    </cfRule>
    <cfRule type="cellIs" dxfId="241" priority="17" operator="equal">
      <formula>2</formula>
    </cfRule>
    <cfRule type="cellIs" dxfId="240" priority="20" operator="equal">
      <formula>2</formula>
    </cfRule>
    <cfRule type="cellIs" dxfId="239" priority="21" operator="equal">
      <formula>3</formula>
    </cfRule>
    <cfRule type="cellIs" dxfId="238" priority="22" operator="greaterThan">
      <formula>3.9</formula>
    </cfRule>
  </conditionalFormatting>
  <conditionalFormatting sqref="AU5:BE49">
    <cfRule type="cellIs" dxfId="237" priority="18" operator="greaterThan">
      <formula>3.9</formula>
    </cfRule>
  </conditionalFormatting>
  <conditionalFormatting sqref="BG5:BG49">
    <cfRule type="cellIs" dxfId="236" priority="1" operator="between">
      <formula>0.5</formula>
      <formula>0.6</formula>
    </cfRule>
    <cfRule type="cellIs" dxfId="235" priority="2" operator="between">
      <formula>0.4</formula>
      <formula>0.49</formula>
    </cfRule>
    <cfRule type="cellIs" dxfId="234" priority="3" operator="lessThan">
      <formula>0.4</formula>
    </cfRule>
    <cfRule type="cellIs" dxfId="233" priority="4" operator="lessThan">
      <formula>0.4</formula>
    </cfRule>
    <cfRule type="cellIs" dxfId="232" priority="5" operator="between">
      <formula>0.4</formula>
      <formula>0.5</formula>
    </cfRule>
    <cfRule type="cellIs" dxfId="231" priority="6" operator="between">
      <formula>0.5</formula>
      <formula>0.6</formula>
    </cfRule>
    <cfRule type="cellIs" dxfId="230" priority="7" operator="greaterThan">
      <formula>0.6</formula>
    </cfRule>
  </conditionalFormatting>
  <dataValidations count="3">
    <dataValidation type="list" allowBlank="1" showInputMessage="1" showErrorMessage="1" sqref="X37:AD37 X38:AC47 V7:W47" xr:uid="{E1AD062A-96C7-44E4-B196-9DC4D4CE14B4}">
      <formula1>$K$4:$K$15</formula1>
    </dataValidation>
    <dataValidation type="list" allowBlank="1" showInputMessage="1" showErrorMessage="1" sqref="Y4:AC4" xr:uid="{84D33B4F-69E6-4367-B47E-41749093724F}">
      <formula1>$I$4:$I$16</formula1>
    </dataValidation>
    <dataValidation type="list" allowBlank="1" showInputMessage="1" showErrorMessage="1" sqref="BH48:BH49" xr:uid="{F0321D26-DEF3-4E8A-9018-D22E2536126E}">
      <formula1>$BY$15:$BY$17</formula1>
    </dataValidation>
  </dataValidations>
  <pageMargins left="0.7" right="0.7" top="0.75" bottom="0.75" header="0.3" footer="0.3"/>
  <pageSetup orientation="portrait" horizontalDpi="4294967293" verticalDpi="0" r:id="rId1"/>
  <headerFooter>
    <oddFooter>&amp;C_x000D_&amp;1#&amp;"Calibri"&amp;8&amp;K000000 INTERNAL. This information is accessible to ADB Management and staff. It may be shared outside ADB with appropriate permission.</oddFooter>
  </headerFooter>
  <drawing r:id="rId2"/>
  <extLst>
    <ext xmlns:x14="http://schemas.microsoft.com/office/spreadsheetml/2009/9/main" uri="{CCE6A557-97BC-4b89-ADB6-D9C93CAAB3DF}">
      <x14:dataValidations xmlns:xm="http://schemas.microsoft.com/office/excel/2006/main" count="21">
        <x14:dataValidation type="list" allowBlank="1" showInputMessage="1" showErrorMessage="1" xr:uid="{10ADD225-2992-485E-8525-0A51B6693403}">
          <x14:formula1>
            <xm:f>'AR-Hierarchy '!$K$4:$K$17</xm:f>
          </x14:formula1>
          <xm:sqref>X7:AC36</xm:sqref>
        </x14:dataValidation>
        <x14:dataValidation type="list" allowBlank="1" showInputMessage="1" showErrorMessage="1" xr:uid="{CFE1E6F0-BD08-4CCD-BAEA-CDD866A53F73}">
          <x14:formula1>
            <xm:f>'Condition rating weights'!$C$29:$C$34</xm:f>
          </x14:formula1>
          <xm:sqref>AU5:BF49</xm:sqref>
        </x14:dataValidation>
        <x14:dataValidation type="list" allowBlank="1" showInputMessage="1" showErrorMessage="1" xr:uid="{9CFF7720-A988-4288-8561-E4F4885B3185}">
          <x14:formula1>
            <xm:f>'AR-Hierarchy '!$H$4:$H$20</xm:f>
          </x14:formula1>
          <xm:sqref>F5:F46 F48:F49</xm:sqref>
        </x14:dataValidation>
        <x14:dataValidation type="list" allowBlank="1" showInputMessage="1" showErrorMessage="1" xr:uid="{6912A7EF-18A3-45A8-98BA-95F0B40C334C}">
          <x14:formula1>
            <xm:f>'AR-Hierarchy '!$I$4:$I$14</xm:f>
          </x14:formula1>
          <xm:sqref>J4:S4</xm:sqref>
        </x14:dataValidation>
        <x14:dataValidation type="list" allowBlank="1" showInputMessage="1" showErrorMessage="1" xr:uid="{63EEF101-595C-40D3-8655-3A326E935163}">
          <x14:formula1>
            <xm:f>'AR-Hierarchy '!$J$14:$J$21</xm:f>
          </x14:formula1>
          <xm:sqref>K5:K49</xm:sqref>
        </x14:dataValidation>
        <x14:dataValidation type="list" allowBlank="1" showInputMessage="1" showErrorMessage="1" xr:uid="{3ABD8F88-04AF-4B9B-A5B2-FA391BB381AD}">
          <x14:formula1>
            <xm:f>'AR-Hierarchy '!$J$5:$J$12</xm:f>
          </x14:formula1>
          <xm:sqref>J5:J46 J48:J49</xm:sqref>
        </x14:dataValidation>
        <x14:dataValidation type="list" allowBlank="1" showInputMessage="1" showErrorMessage="1" xr:uid="{3EEA020A-FF05-452F-A297-9CB5F29D5BF7}">
          <x14:formula1>
            <xm:f>'AR-Hierarchy '!$J$24:$J$32</xm:f>
          </x14:formula1>
          <xm:sqref>L5:L49</xm:sqref>
        </x14:dataValidation>
        <x14:dataValidation type="list" allowBlank="1" showInputMessage="1" showErrorMessage="1" xr:uid="{9D70D869-1030-4D2B-88C2-A9137882A856}">
          <x14:formula1>
            <xm:f>'AR-Hierarchy '!$J$35:$J$41</xm:f>
          </x14:formula1>
          <xm:sqref>M5:M13</xm:sqref>
        </x14:dataValidation>
        <x14:dataValidation type="list" allowBlank="1" showInputMessage="1" showErrorMessage="1" xr:uid="{FCA2D770-F253-423E-A615-8445C69EAF6D}">
          <x14:formula1>
            <xm:f>'AR-Hierarchy '!$J$35:$J$42</xm:f>
          </x14:formula1>
          <xm:sqref>M14:M49</xm:sqref>
        </x14:dataValidation>
        <x14:dataValidation type="list" allowBlank="1" showInputMessage="1" showErrorMessage="1" xr:uid="{756A6014-5D61-4CD9-B50B-3DE30AE2A95E}">
          <x14:formula1>
            <xm:f>'AR-Hierarchy '!$J$45:$J$51</xm:f>
          </x14:formula1>
          <xm:sqref>N5:N49</xm:sqref>
        </x14:dataValidation>
        <x14:dataValidation type="list" allowBlank="1" showInputMessage="1" showErrorMessage="1" xr:uid="{8D145FED-1761-43EB-889E-F44F576D193A}">
          <x14:formula1>
            <xm:f>'AR-Hierarchy '!$J$54:$J$60</xm:f>
          </x14:formula1>
          <xm:sqref>O5:O46 O48:O49</xm:sqref>
        </x14:dataValidation>
        <x14:dataValidation type="list" allowBlank="1" showInputMessage="1" showErrorMessage="1" xr:uid="{D2407BC5-6627-4550-9D45-DBA024352009}">
          <x14:formula1>
            <xm:f>'AR-Hierarchy '!$J$63:$J$68</xm:f>
          </x14:formula1>
          <xm:sqref>P5:P14</xm:sqref>
        </x14:dataValidation>
        <x14:dataValidation type="list" allowBlank="1" showInputMessage="1" showErrorMessage="1" xr:uid="{8B843294-16D1-4FB9-8D6F-10DE12475B25}">
          <x14:formula1>
            <xm:f>'AR-Hierarchy '!$J$63:$J$69</xm:f>
          </x14:formula1>
          <xm:sqref>P15:P49</xm:sqref>
        </x14:dataValidation>
        <x14:dataValidation type="list" allowBlank="1" showInputMessage="1" showErrorMessage="1" xr:uid="{2317DB2F-892D-477F-AA40-FD365E632F49}">
          <x14:formula1>
            <xm:f>'AR-Hierarchy '!$J$72:$J$77</xm:f>
          </x14:formula1>
          <xm:sqref>Q5:Q49</xm:sqref>
        </x14:dataValidation>
        <x14:dataValidation type="list" allowBlank="1" showInputMessage="1" showErrorMessage="1" xr:uid="{BC9BB164-B96E-4DF4-ACF5-2DE7A9A2A4E8}">
          <x14:formula1>
            <xm:f>'AR-Hierarchy '!$J$80:$J$83</xm:f>
          </x14:formula1>
          <xm:sqref>R5:R49</xm:sqref>
        </x14:dataValidation>
        <x14:dataValidation type="list" allowBlank="1" showInputMessage="1" showErrorMessage="1" xr:uid="{362C65A9-BA5E-4BC5-BBAA-2217BAB64DB0}">
          <x14:formula1>
            <xm:f>'AR-Hierarchy '!$J$86:$J$90</xm:f>
          </x14:formula1>
          <xm:sqref>S5:S49</xm:sqref>
        </x14:dataValidation>
        <x14:dataValidation type="list" allowBlank="1" showInputMessage="1" showErrorMessage="1" xr:uid="{5D7D9712-C230-4449-8C39-841DA4C3DA51}">
          <x14:formula1>
            <xm:f>'AR-Hierarchy '!$K$4:$K$7</xm:f>
          </x14:formula1>
          <xm:sqref>V5:AC6 T5:U49 V48:AC49</xm:sqref>
        </x14:dataValidation>
        <x14:dataValidation type="list" allowBlank="1" showInputMessage="1" showErrorMessage="1" xr:uid="{2647AC28-FBE3-4970-BECD-B7364A047FD2}">
          <x14:formula1>
            <xm:f>'AR-Hierarchy '!#REF!</xm:f>
          </x14:formula1>
          <xm:sqref>E5:E49</xm:sqref>
        </x14:dataValidation>
        <x14:dataValidation type="list" allowBlank="1" showInputMessage="1" showErrorMessage="1" xr:uid="{3C6F6460-570D-41AB-9E4D-995D2076FF8C}">
          <x14:formula1>
            <xm:f>'AR-Hierarchy '!$D$9:$D$13</xm:f>
          </x14:formula1>
          <xm:sqref>D48:D49</xm:sqref>
        </x14:dataValidation>
        <x14:dataValidation type="list" allowBlank="1" showInputMessage="1" showErrorMessage="1" xr:uid="{181E6018-DEAE-4F58-B11F-078E5462AAE9}">
          <x14:formula1>
            <xm:f>'AR-Hierarchy '!$B$4:$B$53</xm:f>
          </x14:formula1>
          <xm:sqref>C5:C49</xm:sqref>
        </x14:dataValidation>
        <x14:dataValidation type="list" allowBlank="1" showInputMessage="1" showErrorMessage="1" xr:uid="{728B0BC8-C3B5-45A2-9D28-84239DD82D55}">
          <x14:formula1>
            <xm:f>'AR-Hierarchy '!$D$4:$D$53</xm:f>
          </x14:formula1>
          <xm:sqref>D5:D46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940AE-F24E-4076-998B-7349E4A1C281}">
  <dimension ref="A1:FO50"/>
  <sheetViews>
    <sheetView topLeftCell="AS27" zoomScaleNormal="100" workbookViewId="0">
      <selection activeCell="AS50" sqref="AS50"/>
    </sheetView>
  </sheetViews>
  <sheetFormatPr defaultColWidth="8.81640625" defaultRowHeight="14" x14ac:dyDescent="0.3"/>
  <cols>
    <col min="1" max="71" width="36.6328125" style="91" customWidth="1"/>
    <col min="72" max="73" width="36.6328125" style="290" customWidth="1"/>
    <col min="74" max="74" width="8.81640625" style="91"/>
    <col min="75" max="76" width="8.81640625" style="91" customWidth="1"/>
    <col min="77" max="77" width="16.08984375" style="144" customWidth="1"/>
    <col min="78" max="85" width="8.81640625" style="144" customWidth="1"/>
    <col min="86" max="86" width="12.08984375" style="144" customWidth="1"/>
    <col min="87" max="87" width="10.90625" style="144" customWidth="1"/>
    <col min="88" max="88" width="11.81640625" style="144" customWidth="1"/>
    <col min="89" max="89" width="11" style="144" customWidth="1"/>
    <col min="90" max="90" width="11.453125" style="144" customWidth="1"/>
    <col min="91" max="91" width="12.54296875" style="144" customWidth="1"/>
    <col min="92" max="93" width="11.08984375" style="144" customWidth="1"/>
    <col min="94" max="94" width="10.453125" style="144" customWidth="1"/>
    <col min="95" max="95" width="11.08984375" style="144" customWidth="1"/>
    <col min="96" max="101" width="12.1796875" style="144" customWidth="1"/>
    <col min="102" max="102" width="11.90625" style="144" customWidth="1"/>
    <col min="103" max="103" width="10.6328125" style="144" customWidth="1"/>
    <col min="104" max="104" width="10.1796875" style="144" customWidth="1"/>
    <col min="105" max="105" width="10.81640625" style="144" customWidth="1"/>
    <col min="106" max="106" width="8.81640625" style="144" customWidth="1"/>
    <col min="107" max="107" width="12" style="144" customWidth="1"/>
    <col min="108" max="108" width="16.36328125" style="144" customWidth="1"/>
    <col min="109" max="109" width="11.1796875" style="144" customWidth="1"/>
    <col min="110" max="113" width="10.6328125" style="144" customWidth="1"/>
    <col min="114" max="114" width="10" style="144" customWidth="1"/>
    <col min="115" max="115" width="10.90625" style="144" customWidth="1"/>
    <col min="116" max="116" width="9.08984375" style="144" customWidth="1"/>
    <col min="117" max="117" width="10.81640625" style="144" customWidth="1"/>
    <col min="118" max="118" width="8.81640625" style="144" customWidth="1"/>
    <col min="119" max="119" width="11.36328125" style="144" customWidth="1"/>
    <col min="120" max="123" width="10.81640625" style="144" customWidth="1"/>
    <col min="124" max="124" width="8.81640625" style="144" customWidth="1"/>
    <col min="125" max="125" width="9.08984375" style="144" customWidth="1"/>
    <col min="126" max="129" width="8.81640625" style="144" customWidth="1"/>
    <col min="130" max="130" width="11.36328125" style="144" customWidth="1"/>
    <col min="131" max="135" width="10.08984375" style="144" customWidth="1"/>
    <col min="136" max="139" width="8.81640625" style="144" customWidth="1"/>
    <col min="140" max="151" width="11.08984375" style="144" customWidth="1"/>
    <col min="152" max="155" width="11.54296875" style="144" customWidth="1"/>
    <col min="156" max="156" width="11.81640625" style="144" customWidth="1"/>
    <col min="157" max="158" width="12.1796875" style="144" customWidth="1"/>
    <col min="159" max="170" width="8.81640625" style="91"/>
    <col min="171" max="171" width="8.90625" style="91" bestFit="1" customWidth="1"/>
    <col min="172" max="16384" width="8.81640625" style="91"/>
  </cols>
  <sheetData>
    <row r="1" spans="1:169" ht="29.5" customHeight="1" thickTop="1" x14ac:dyDescent="0.3">
      <c r="A1" s="635" t="s">
        <v>32</v>
      </c>
      <c r="B1" s="636"/>
      <c r="C1" s="288">
        <v>2023</v>
      </c>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row>
    <row r="2" spans="1:169" ht="46" customHeight="1" thickBot="1" x14ac:dyDescent="0.35">
      <c r="A2" s="584" t="s">
        <v>1401</v>
      </c>
      <c r="B2" s="585"/>
      <c r="C2" s="585"/>
      <c r="D2" s="585"/>
      <c r="E2" s="585"/>
      <c r="F2" s="585"/>
      <c r="G2" s="585"/>
      <c r="H2" s="585"/>
      <c r="I2" s="586"/>
      <c r="J2" s="624" t="s">
        <v>298</v>
      </c>
      <c r="K2" s="585"/>
      <c r="L2" s="585"/>
      <c r="M2" s="585"/>
      <c r="N2" s="585"/>
      <c r="O2" s="585"/>
      <c r="P2" s="585"/>
      <c r="Q2" s="585"/>
      <c r="R2" s="585"/>
      <c r="S2" s="585"/>
      <c r="T2" s="585"/>
      <c r="U2" s="585"/>
      <c r="V2" s="585"/>
      <c r="W2" s="585"/>
      <c r="X2" s="585"/>
      <c r="Y2" s="585"/>
      <c r="Z2" s="585"/>
      <c r="AA2" s="585"/>
      <c r="AB2" s="585"/>
      <c r="AC2" s="585"/>
      <c r="AD2" s="369"/>
      <c r="AE2" s="369"/>
      <c r="AF2" s="592" t="s">
        <v>267</v>
      </c>
      <c r="AG2" s="593"/>
      <c r="AH2" s="593"/>
      <c r="AI2" s="593"/>
      <c r="AJ2" s="593"/>
      <c r="AK2" s="593"/>
      <c r="AL2" s="593"/>
      <c r="AM2" s="593"/>
      <c r="AN2" s="593"/>
      <c r="AO2" s="593"/>
      <c r="AP2" s="593"/>
      <c r="AQ2" s="593"/>
      <c r="AR2" s="594"/>
      <c r="AS2" s="592" t="s">
        <v>268</v>
      </c>
      <c r="AT2" s="593"/>
      <c r="AU2" s="593"/>
      <c r="AV2" s="593"/>
      <c r="AW2" s="593"/>
      <c r="AX2" s="593"/>
      <c r="AY2" s="593"/>
      <c r="AZ2" s="593"/>
      <c r="BA2" s="593"/>
      <c r="BB2" s="593"/>
      <c r="BC2" s="593"/>
      <c r="BD2" s="593"/>
      <c r="BE2" s="593"/>
      <c r="BF2" s="593"/>
      <c r="BG2" s="593"/>
      <c r="BH2" s="597" t="s">
        <v>312</v>
      </c>
      <c r="BI2" s="598"/>
      <c r="BJ2" s="598"/>
      <c r="BK2" s="598"/>
      <c r="BL2" s="598"/>
      <c r="BM2" s="598"/>
      <c r="BN2" s="598"/>
      <c r="BO2" s="598"/>
      <c r="BP2" s="598"/>
      <c r="BQ2" s="598"/>
      <c r="BR2" s="598"/>
      <c r="BS2" s="598"/>
      <c r="BT2" s="598"/>
      <c r="BU2" s="370"/>
      <c r="DO2" s="638" t="s">
        <v>828</v>
      </c>
      <c r="DP2" s="638"/>
      <c r="DQ2" s="638"/>
      <c r="DR2" s="638"/>
      <c r="DS2" s="638"/>
      <c r="DT2" s="638"/>
      <c r="DU2" s="638"/>
      <c r="DV2" s="638"/>
      <c r="DW2" s="638"/>
      <c r="DX2" s="638"/>
      <c r="DY2" s="638"/>
      <c r="DZ2" s="638"/>
      <c r="EA2" s="638"/>
      <c r="EB2" s="638"/>
      <c r="EC2" s="638"/>
      <c r="ED2" s="638"/>
      <c r="EE2" s="638"/>
      <c r="EF2" s="638"/>
      <c r="EG2" s="638"/>
      <c r="EH2" s="638"/>
      <c r="EI2" s="638"/>
      <c r="EJ2" s="638"/>
      <c r="EV2" s="639" t="s">
        <v>829</v>
      </c>
      <c r="EW2" s="639"/>
      <c r="EX2" s="639"/>
      <c r="EY2" s="639"/>
      <c r="EZ2" s="639"/>
      <c r="FA2" s="639"/>
      <c r="FB2" s="639"/>
    </row>
    <row r="3" spans="1:169" ht="38.5" customHeight="1" thickTop="1" x14ac:dyDescent="0.3">
      <c r="A3" s="293" t="s">
        <v>0</v>
      </c>
      <c r="B3" s="294" t="s">
        <v>34</v>
      </c>
      <c r="C3" s="294" t="s">
        <v>250</v>
      </c>
      <c r="D3" s="294" t="s">
        <v>251</v>
      </c>
      <c r="E3" s="294" t="s">
        <v>1</v>
      </c>
      <c r="F3" s="294" t="s">
        <v>2</v>
      </c>
      <c r="G3" s="294" t="s">
        <v>252</v>
      </c>
      <c r="H3" s="294" t="s">
        <v>30</v>
      </c>
      <c r="I3" s="294" t="s">
        <v>31</v>
      </c>
      <c r="J3" s="616" t="s">
        <v>253</v>
      </c>
      <c r="K3" s="625"/>
      <c r="L3" s="625"/>
      <c r="M3" s="625"/>
      <c r="N3" s="625"/>
      <c r="O3" s="625"/>
      <c r="P3" s="625"/>
      <c r="Q3" s="625"/>
      <c r="R3" s="625"/>
      <c r="S3" s="626"/>
      <c r="T3" s="640" t="s">
        <v>254</v>
      </c>
      <c r="U3" s="641"/>
      <c r="V3" s="641"/>
      <c r="W3" s="641"/>
      <c r="X3" s="641"/>
      <c r="Y3" s="641"/>
      <c r="Z3" s="641"/>
      <c r="AA3" s="641"/>
      <c r="AB3" s="641"/>
      <c r="AC3" s="642"/>
      <c r="AD3" s="616" t="s">
        <v>255</v>
      </c>
      <c r="AE3" s="626"/>
      <c r="AF3" s="294" t="s">
        <v>259</v>
      </c>
      <c r="AG3" s="603" t="s">
        <v>38</v>
      </c>
      <c r="AH3" s="604"/>
      <c r="AI3" s="603" t="s">
        <v>261</v>
      </c>
      <c r="AJ3" s="591"/>
      <c r="AK3" s="296"/>
      <c r="AL3" s="296"/>
      <c r="AM3" s="591" t="s">
        <v>262</v>
      </c>
      <c r="AN3" s="591"/>
      <c r="AO3" s="591" t="s">
        <v>263</v>
      </c>
      <c r="AP3" s="591" t="s">
        <v>326</v>
      </c>
      <c r="AQ3" s="604" t="s">
        <v>33</v>
      </c>
      <c r="AR3" s="609" t="s">
        <v>264</v>
      </c>
      <c r="AS3" s="609" t="s">
        <v>265</v>
      </c>
      <c r="AT3" s="609" t="s">
        <v>266</v>
      </c>
      <c r="AU3" s="603" t="s">
        <v>53</v>
      </c>
      <c r="AV3" s="591"/>
      <c r="AW3" s="591"/>
      <c r="AX3" s="591"/>
      <c r="AY3" s="591"/>
      <c r="AZ3" s="591"/>
      <c r="BA3" s="591"/>
      <c r="BB3" s="591"/>
      <c r="BC3" s="591"/>
      <c r="BD3" s="604"/>
      <c r="BE3" s="609" t="s">
        <v>1581</v>
      </c>
      <c r="BF3" s="609"/>
      <c r="BG3" s="295" t="s">
        <v>1442</v>
      </c>
      <c r="BH3" s="605" t="s">
        <v>299</v>
      </c>
      <c r="BI3" s="605" t="s">
        <v>300</v>
      </c>
      <c r="BJ3" s="605" t="s">
        <v>301</v>
      </c>
      <c r="BK3" s="605" t="s">
        <v>302</v>
      </c>
      <c r="BL3" s="605" t="s">
        <v>303</v>
      </c>
      <c r="BM3" s="605" t="s">
        <v>304</v>
      </c>
      <c r="BN3" s="605" t="s">
        <v>305</v>
      </c>
      <c r="BO3" s="605" t="s">
        <v>306</v>
      </c>
      <c r="BP3" s="605" t="s">
        <v>307</v>
      </c>
      <c r="BQ3" s="605" t="s">
        <v>308</v>
      </c>
      <c r="BR3" s="605" t="s">
        <v>309</v>
      </c>
      <c r="BS3" s="605" t="s">
        <v>310</v>
      </c>
      <c r="BT3" s="616" t="s">
        <v>311</v>
      </c>
      <c r="BU3" s="643" t="s">
        <v>1428</v>
      </c>
      <c r="CA3" s="372" t="s">
        <v>809</v>
      </c>
      <c r="CH3" s="639" t="s">
        <v>816</v>
      </c>
      <c r="CI3" s="639"/>
      <c r="CJ3" s="639"/>
      <c r="CK3" s="639"/>
      <c r="CL3" s="639"/>
      <c r="CM3" s="639"/>
      <c r="CN3" s="639"/>
      <c r="CO3" s="639"/>
      <c r="CP3" s="639"/>
      <c r="CQ3" s="639"/>
      <c r="CR3" s="639"/>
      <c r="CS3" s="646" t="s">
        <v>262</v>
      </c>
      <c r="CT3" s="646"/>
      <c r="CU3" s="646"/>
      <c r="CV3" s="646"/>
      <c r="CW3" s="646"/>
      <c r="CX3" s="646"/>
      <c r="CY3" s="646"/>
      <c r="CZ3" s="646"/>
      <c r="DA3" s="646"/>
      <c r="DB3" s="646"/>
      <c r="DC3" s="646"/>
      <c r="DD3" s="371"/>
      <c r="DE3" s="639" t="s">
        <v>825</v>
      </c>
      <c r="DF3" s="639"/>
      <c r="DG3" s="639"/>
      <c r="DH3" s="639"/>
      <c r="DI3" s="639"/>
      <c r="DJ3" s="639"/>
      <c r="DK3" s="639"/>
      <c r="DL3" s="639"/>
      <c r="DM3" s="639"/>
      <c r="DN3" s="639"/>
      <c r="DO3" s="646" t="s">
        <v>827</v>
      </c>
      <c r="DP3" s="646"/>
      <c r="DQ3" s="646"/>
      <c r="DR3" s="646"/>
      <c r="DS3" s="646"/>
      <c r="DT3" s="646"/>
      <c r="DU3" s="646"/>
      <c r="DV3" s="646"/>
      <c r="DW3" s="646"/>
      <c r="DX3" s="646"/>
      <c r="DY3" s="646"/>
      <c r="DZ3" s="639" t="s">
        <v>826</v>
      </c>
      <c r="EA3" s="639"/>
      <c r="EB3" s="639"/>
      <c r="EC3" s="639"/>
      <c r="ED3" s="639"/>
      <c r="EE3" s="639"/>
      <c r="EF3" s="639"/>
      <c r="EG3" s="639"/>
      <c r="EH3" s="639"/>
      <c r="EI3" s="639"/>
      <c r="EJ3" s="639"/>
      <c r="EK3" s="646" t="s">
        <v>833</v>
      </c>
      <c r="EL3" s="646"/>
      <c r="EM3" s="646"/>
      <c r="EN3" s="646"/>
      <c r="EO3" s="646"/>
      <c r="EP3" s="646"/>
      <c r="EQ3" s="646"/>
      <c r="ER3" s="646"/>
      <c r="ES3" s="646"/>
      <c r="ET3" s="646"/>
      <c r="EU3" s="646"/>
      <c r="EV3" s="645" t="s">
        <v>1026</v>
      </c>
      <c r="EW3" s="645" t="s">
        <v>1022</v>
      </c>
      <c r="EX3" s="645" t="s">
        <v>1023</v>
      </c>
      <c r="EY3" s="645" t="s">
        <v>1027</v>
      </c>
      <c r="EZ3" s="645" t="s">
        <v>1024</v>
      </c>
      <c r="FA3" s="645" t="s">
        <v>1025</v>
      </c>
      <c r="FB3" s="645" t="s">
        <v>33</v>
      </c>
    </row>
    <row r="4" spans="1:169" ht="49.5" customHeight="1" thickBot="1" x14ac:dyDescent="0.35">
      <c r="A4" s="300"/>
      <c r="B4" s="301"/>
      <c r="C4" s="302"/>
      <c r="D4" s="302"/>
      <c r="E4" s="302"/>
      <c r="F4" s="302"/>
      <c r="G4" s="302"/>
      <c r="H4" s="302"/>
      <c r="I4" s="302"/>
      <c r="J4" s="302" t="s">
        <v>105</v>
      </c>
      <c r="K4" s="302" t="s">
        <v>106</v>
      </c>
      <c r="L4" s="302" t="s">
        <v>107</v>
      </c>
      <c r="M4" s="302" t="s">
        <v>108</v>
      </c>
      <c r="N4" s="302" t="s">
        <v>109</v>
      </c>
      <c r="O4" s="302" t="s">
        <v>120</v>
      </c>
      <c r="P4" s="302" t="s">
        <v>111</v>
      </c>
      <c r="Q4" s="349" t="s">
        <v>112</v>
      </c>
      <c r="R4" s="302" t="s">
        <v>113</v>
      </c>
      <c r="S4" s="302" t="s">
        <v>110</v>
      </c>
      <c r="T4" s="375" t="s">
        <v>935</v>
      </c>
      <c r="U4" s="375" t="s">
        <v>936</v>
      </c>
      <c r="V4" s="375" t="s">
        <v>937</v>
      </c>
      <c r="W4" s="375" t="s">
        <v>938</v>
      </c>
      <c r="X4" s="375" t="s">
        <v>939</v>
      </c>
      <c r="Y4" s="375" t="s">
        <v>120</v>
      </c>
      <c r="Z4" s="375" t="s">
        <v>111</v>
      </c>
      <c r="AA4" s="375" t="s">
        <v>112</v>
      </c>
      <c r="AB4" s="375" t="s">
        <v>113</v>
      </c>
      <c r="AC4" s="375" t="s">
        <v>110</v>
      </c>
      <c r="AD4" s="302" t="s">
        <v>256</v>
      </c>
      <c r="AE4" s="302" t="s">
        <v>257</v>
      </c>
      <c r="AF4" s="302"/>
      <c r="AG4" s="302" t="s">
        <v>38</v>
      </c>
      <c r="AH4" s="302" t="s">
        <v>260</v>
      </c>
      <c r="AI4" s="302" t="s">
        <v>261</v>
      </c>
      <c r="AJ4" s="302" t="s">
        <v>260</v>
      </c>
      <c r="AK4" s="302" t="s">
        <v>715</v>
      </c>
      <c r="AL4" s="302" t="s">
        <v>716</v>
      </c>
      <c r="AM4" s="302" t="s">
        <v>262</v>
      </c>
      <c r="AN4" s="302" t="s">
        <v>260</v>
      </c>
      <c r="AO4" s="607"/>
      <c r="AP4" s="607"/>
      <c r="AQ4" s="608"/>
      <c r="AR4" s="610"/>
      <c r="AS4" s="610"/>
      <c r="AT4" s="610"/>
      <c r="AU4" s="302" t="s">
        <v>164</v>
      </c>
      <c r="AV4" s="302" t="s">
        <v>36</v>
      </c>
      <c r="AW4" s="302" t="s">
        <v>5</v>
      </c>
      <c r="AX4" s="302" t="s">
        <v>3</v>
      </c>
      <c r="AY4" s="302" t="s">
        <v>165</v>
      </c>
      <c r="AZ4" s="302" t="s">
        <v>166</v>
      </c>
      <c r="BA4" s="302" t="s">
        <v>1578</v>
      </c>
      <c r="BB4" s="302"/>
      <c r="BC4" s="302"/>
      <c r="BD4" s="302"/>
      <c r="BE4" s="610"/>
      <c r="BF4" s="610"/>
      <c r="BG4" s="345" t="s">
        <v>37</v>
      </c>
      <c r="BH4" s="606"/>
      <c r="BI4" s="606"/>
      <c r="BJ4" s="606"/>
      <c r="BK4" s="606"/>
      <c r="BL4" s="606"/>
      <c r="BM4" s="606"/>
      <c r="BN4" s="606"/>
      <c r="BO4" s="606"/>
      <c r="BP4" s="606"/>
      <c r="BQ4" s="606"/>
      <c r="BR4" s="606"/>
      <c r="BS4" s="606"/>
      <c r="BT4" s="592"/>
      <c r="BU4" s="644"/>
      <c r="BX4" s="290" t="s">
        <v>1402</v>
      </c>
      <c r="BY4" s="373"/>
      <c r="BZ4" s="376" t="str">
        <f>'AR-Hierarchy '!K4</f>
        <v>Basic Design</v>
      </c>
      <c r="CA4" s="376" t="str">
        <f>'AR-Hierarchy '!K5</f>
        <v>Standard Design</v>
      </c>
      <c r="CB4" s="376" t="str">
        <f>'AR-Hierarchy '!K6</f>
        <v xml:space="preserve">Superior Design </v>
      </c>
      <c r="CC4" s="376" t="str">
        <f>'AR-Hierarchy '!K7</f>
        <v>None</v>
      </c>
      <c r="CD4" s="376" t="str">
        <f>BZ4</f>
        <v>Basic Design</v>
      </c>
      <c r="CE4" s="376" t="str">
        <f>CA4</f>
        <v>Standard Design</v>
      </c>
      <c r="CF4" s="376" t="str">
        <f>CB4</f>
        <v xml:space="preserve">Superior Design </v>
      </c>
      <c r="CG4" s="373" t="s">
        <v>117</v>
      </c>
      <c r="CH4" s="374" t="str">
        <f>BY5</f>
        <v>Substructure</v>
      </c>
      <c r="CI4" s="371" t="str">
        <f>BY6</f>
        <v>Structure</v>
      </c>
      <c r="CJ4" s="371" t="str">
        <f>BY7</f>
        <v>Roofing</v>
      </c>
      <c r="CK4" s="374" t="str">
        <f>BY8</f>
        <v>Exterior Wall Cladding</v>
      </c>
      <c r="CL4" s="371" t="str">
        <f>BY9</f>
        <v>Fitouts</v>
      </c>
      <c r="CM4" s="371" t="str">
        <f>BY10</f>
        <v>Floor Covering</v>
      </c>
      <c r="CN4" s="374" t="str">
        <f>BY11</f>
        <v>Service Mechanical</v>
      </c>
      <c r="CO4" s="374" t="str">
        <f>BY12</f>
        <v>Services Electrical</v>
      </c>
      <c r="CP4" s="374" t="str">
        <f>BY13</f>
        <v>Services Sanitation</v>
      </c>
      <c r="CQ4" s="374" t="str">
        <f>BY14</f>
        <v>Services Water</v>
      </c>
      <c r="CR4" s="374" t="s">
        <v>823</v>
      </c>
      <c r="CS4" s="376" t="str">
        <f>CH4</f>
        <v>Substructure</v>
      </c>
      <c r="CT4" s="376" t="str">
        <f t="shared" ref="CT4:DB4" si="0">CI4</f>
        <v>Structure</v>
      </c>
      <c r="CU4" s="376" t="str">
        <f t="shared" si="0"/>
        <v>Roofing</v>
      </c>
      <c r="CV4" s="376" t="str">
        <f t="shared" si="0"/>
        <v>Exterior Wall Cladding</v>
      </c>
      <c r="CW4" s="376" t="str">
        <f t="shared" si="0"/>
        <v>Fitouts</v>
      </c>
      <c r="CX4" s="376" t="str">
        <f t="shared" si="0"/>
        <v>Floor Covering</v>
      </c>
      <c r="CY4" s="376" t="str">
        <f t="shared" si="0"/>
        <v>Service Mechanical</v>
      </c>
      <c r="CZ4" s="376" t="str">
        <f t="shared" si="0"/>
        <v>Services Electrical</v>
      </c>
      <c r="DA4" s="376" t="str">
        <f t="shared" si="0"/>
        <v>Services Sanitation</v>
      </c>
      <c r="DB4" s="376" t="str">
        <f t="shared" si="0"/>
        <v>Services Water</v>
      </c>
      <c r="DC4" s="376" t="s">
        <v>824</v>
      </c>
      <c r="DD4" s="374" t="s">
        <v>1028</v>
      </c>
      <c r="DE4" s="374" t="str">
        <f>CS4</f>
        <v>Substructure</v>
      </c>
      <c r="DF4" s="374" t="str">
        <f t="shared" ref="DF4:DN4" si="1">CT4</f>
        <v>Structure</v>
      </c>
      <c r="DG4" s="374" t="str">
        <f t="shared" si="1"/>
        <v>Roofing</v>
      </c>
      <c r="DH4" s="374" t="str">
        <f t="shared" si="1"/>
        <v>Exterior Wall Cladding</v>
      </c>
      <c r="DI4" s="374" t="str">
        <f t="shared" si="1"/>
        <v>Fitouts</v>
      </c>
      <c r="DJ4" s="374" t="str">
        <f t="shared" si="1"/>
        <v>Floor Covering</v>
      </c>
      <c r="DK4" s="374" t="str">
        <f t="shared" si="1"/>
        <v>Service Mechanical</v>
      </c>
      <c r="DL4" s="374" t="str">
        <f t="shared" si="1"/>
        <v>Services Electrical</v>
      </c>
      <c r="DM4" s="374" t="str">
        <f t="shared" si="1"/>
        <v>Services Sanitation</v>
      </c>
      <c r="DN4" s="374" t="str">
        <f t="shared" si="1"/>
        <v>Services Water</v>
      </c>
      <c r="DO4" s="376" t="str">
        <f>DE4</f>
        <v>Substructure</v>
      </c>
      <c r="DP4" s="376" t="str">
        <f t="shared" ref="DP4:DX4" si="2">DF4</f>
        <v>Structure</v>
      </c>
      <c r="DQ4" s="376" t="str">
        <f t="shared" si="2"/>
        <v>Roofing</v>
      </c>
      <c r="DR4" s="376" t="str">
        <f t="shared" si="2"/>
        <v>Exterior Wall Cladding</v>
      </c>
      <c r="DS4" s="376" t="str">
        <f t="shared" si="2"/>
        <v>Fitouts</v>
      </c>
      <c r="DT4" s="376" t="str">
        <f t="shared" si="2"/>
        <v>Floor Covering</v>
      </c>
      <c r="DU4" s="376" t="str">
        <f t="shared" si="2"/>
        <v>Service Mechanical</v>
      </c>
      <c r="DV4" s="376" t="str">
        <f t="shared" si="2"/>
        <v>Services Electrical</v>
      </c>
      <c r="DW4" s="376" t="str">
        <f t="shared" si="2"/>
        <v>Services Sanitation</v>
      </c>
      <c r="DX4" s="376" t="str">
        <f t="shared" si="2"/>
        <v>Services Water</v>
      </c>
      <c r="DY4" s="376" t="s">
        <v>1021</v>
      </c>
      <c r="DZ4" s="374" t="str">
        <f>DO4</f>
        <v>Substructure</v>
      </c>
      <c r="EA4" s="374" t="str">
        <f t="shared" ref="EA4:EI4" si="3">DP4</f>
        <v>Structure</v>
      </c>
      <c r="EB4" s="374" t="str">
        <f t="shared" si="3"/>
        <v>Roofing</v>
      </c>
      <c r="EC4" s="374" t="str">
        <f t="shared" si="3"/>
        <v>Exterior Wall Cladding</v>
      </c>
      <c r="ED4" s="374" t="str">
        <f t="shared" si="3"/>
        <v>Fitouts</v>
      </c>
      <c r="EE4" s="374" t="str">
        <f t="shared" si="3"/>
        <v>Floor Covering</v>
      </c>
      <c r="EF4" s="374" t="str">
        <f t="shared" si="3"/>
        <v>Service Mechanical</v>
      </c>
      <c r="EG4" s="374" t="str">
        <f t="shared" si="3"/>
        <v>Services Electrical</v>
      </c>
      <c r="EH4" s="374" t="str">
        <f t="shared" si="3"/>
        <v>Services Sanitation</v>
      </c>
      <c r="EI4" s="374" t="str">
        <f t="shared" si="3"/>
        <v>Services Water</v>
      </c>
      <c r="EJ4" s="374" t="s">
        <v>1021</v>
      </c>
      <c r="EK4" s="376" t="str">
        <f>DZ4</f>
        <v>Substructure</v>
      </c>
      <c r="EL4" s="376" t="str">
        <f t="shared" ref="EL4:ET4" si="4">EA4</f>
        <v>Structure</v>
      </c>
      <c r="EM4" s="376" t="str">
        <f t="shared" si="4"/>
        <v>Roofing</v>
      </c>
      <c r="EN4" s="376" t="str">
        <f t="shared" si="4"/>
        <v>Exterior Wall Cladding</v>
      </c>
      <c r="EO4" s="376" t="str">
        <f t="shared" si="4"/>
        <v>Fitouts</v>
      </c>
      <c r="EP4" s="376" t="str">
        <f t="shared" si="4"/>
        <v>Floor Covering</v>
      </c>
      <c r="EQ4" s="376" t="str">
        <f t="shared" si="4"/>
        <v>Service Mechanical</v>
      </c>
      <c r="ER4" s="376" t="str">
        <f t="shared" si="4"/>
        <v>Services Electrical</v>
      </c>
      <c r="ES4" s="376" t="str">
        <f t="shared" si="4"/>
        <v>Services Sanitation</v>
      </c>
      <c r="ET4" s="376" t="str">
        <f t="shared" si="4"/>
        <v>Services Water</v>
      </c>
      <c r="EU4" s="376" t="s">
        <v>52</v>
      </c>
      <c r="EV4" s="645"/>
      <c r="EW4" s="645"/>
      <c r="EX4" s="645"/>
      <c r="EY4" s="645"/>
      <c r="EZ4" s="645"/>
      <c r="FA4" s="645"/>
      <c r="FB4" s="645"/>
    </row>
    <row r="5" spans="1:169" ht="35" customHeight="1" thickTop="1" x14ac:dyDescent="0.3">
      <c r="A5" s="312" t="s">
        <v>1759</v>
      </c>
      <c r="B5" s="313" t="s">
        <v>1130</v>
      </c>
      <c r="C5" s="313" t="s">
        <v>71</v>
      </c>
      <c r="D5" s="313" t="s">
        <v>78</v>
      </c>
      <c r="E5" s="313" t="s">
        <v>8</v>
      </c>
      <c r="F5" s="313" t="s">
        <v>274</v>
      </c>
      <c r="G5" s="313" t="s">
        <v>1174</v>
      </c>
      <c r="H5" s="313" t="s">
        <v>1132</v>
      </c>
      <c r="I5" s="313" t="s">
        <v>1133</v>
      </c>
      <c r="J5" s="313" t="s">
        <v>1045</v>
      </c>
      <c r="K5" s="313" t="s">
        <v>1046</v>
      </c>
      <c r="L5" s="313" t="s">
        <v>1055</v>
      </c>
      <c r="M5" s="313" t="s">
        <v>1059</v>
      </c>
      <c r="N5" s="313" t="s">
        <v>1069</v>
      </c>
      <c r="O5" s="313" t="s">
        <v>1371</v>
      </c>
      <c r="P5" s="313" t="s">
        <v>1078</v>
      </c>
      <c r="Q5" s="313" t="s">
        <v>1082</v>
      </c>
      <c r="R5" s="313" t="s">
        <v>1086</v>
      </c>
      <c r="S5" s="313" t="s">
        <v>1089</v>
      </c>
      <c r="T5" s="313" t="s">
        <v>104</v>
      </c>
      <c r="U5" s="313" t="s">
        <v>104</v>
      </c>
      <c r="V5" s="313" t="s">
        <v>104</v>
      </c>
      <c r="W5" s="313" t="s">
        <v>104</v>
      </c>
      <c r="X5" s="313" t="s">
        <v>104</v>
      </c>
      <c r="Y5" s="313" t="s">
        <v>104</v>
      </c>
      <c r="Z5" s="313" t="s">
        <v>104</v>
      </c>
      <c r="AA5" s="313" t="s">
        <v>104</v>
      </c>
      <c r="AB5" s="313" t="s">
        <v>104</v>
      </c>
      <c r="AC5" s="313" t="s">
        <v>104</v>
      </c>
      <c r="AD5" s="313" t="s">
        <v>1771</v>
      </c>
      <c r="AE5" s="313">
        <v>100</v>
      </c>
      <c r="AF5" s="314">
        <f>DF5</f>
        <v>60</v>
      </c>
      <c r="AG5" s="314">
        <v>1995</v>
      </c>
      <c r="AH5" s="313" t="s">
        <v>800</v>
      </c>
      <c r="AI5" s="313">
        <v>1995</v>
      </c>
      <c r="AJ5" s="313" t="str">
        <f>AH5</f>
        <v>Estimated</v>
      </c>
      <c r="AK5" s="313"/>
      <c r="AL5" s="313"/>
      <c r="AM5" s="315">
        <f>DC5+EW5</f>
        <v>87338.704652805463</v>
      </c>
      <c r="AN5" s="313" t="s">
        <v>800</v>
      </c>
      <c r="AO5" s="509">
        <f>EJ5+FA5</f>
        <v>56381.986003644408</v>
      </c>
      <c r="AP5" s="509">
        <f>AM5-AO5</f>
        <v>30956.718649161056</v>
      </c>
      <c r="AQ5" s="509">
        <f>EU5+FB5</f>
        <v>1585.0357511064694</v>
      </c>
      <c r="AR5" s="509">
        <f>AP5-AQ5</f>
        <v>29371.682898054587</v>
      </c>
      <c r="AS5" s="510">
        <f>HLOOKUP($C$1,'Inflation Adjustments'!$BI$3:$BT$4,2)*CR5</f>
        <v>335873.67187499994</v>
      </c>
      <c r="AT5" s="511">
        <f>IF(BU5="In Service",'Maintenace Cost Assumptions'!$B$3*AS5,0)</f>
        <v>1679.3683593749997</v>
      </c>
      <c r="AU5" s="314">
        <v>3</v>
      </c>
      <c r="AV5" s="313">
        <v>3</v>
      </c>
      <c r="AW5" s="313">
        <v>2</v>
      </c>
      <c r="AX5" s="313">
        <v>2</v>
      </c>
      <c r="AY5" s="313">
        <v>2</v>
      </c>
      <c r="AZ5" s="313">
        <v>2</v>
      </c>
      <c r="BA5" s="313">
        <v>2</v>
      </c>
      <c r="BB5" s="313"/>
      <c r="BC5" s="313"/>
      <c r="BD5" s="313"/>
      <c r="BE5" s="313">
        <v>2</v>
      </c>
      <c r="BF5" s="313"/>
      <c r="BG5" s="319">
        <f>(AU5*'Condition rating weights'!H$8+AV5*'Condition rating weights'!I$8+AW5*'Condition rating weights'!J$8+AX5*'Condition rating weights'!K$8+AY5*'Condition rating weights'!L$8+AZ5*'Condition rating weights'!M$8+BA5*'Condition rating weights'!N$8+BB5*'Condition rating weights'!O$8+BC5*'Condition rating weights'!P$8+BD5*'Condition rating weights'!Q$8+BE5*'Condition rating weights'!R$8+BF5*'Condition rating weights'!S$8)/100</f>
        <v>0.48</v>
      </c>
      <c r="BH5" s="377">
        <v>2</v>
      </c>
      <c r="BI5" s="320">
        <v>211</v>
      </c>
      <c r="BJ5" s="320" t="s">
        <v>12</v>
      </c>
      <c r="BK5" s="320" t="s">
        <v>959</v>
      </c>
      <c r="BL5" s="320" t="s">
        <v>960</v>
      </c>
      <c r="BM5" s="320" t="s">
        <v>961</v>
      </c>
      <c r="BN5" s="320" t="s">
        <v>117</v>
      </c>
      <c r="BO5" s="320" t="s">
        <v>962</v>
      </c>
      <c r="BP5" s="320" t="s">
        <v>962</v>
      </c>
      <c r="BQ5" s="320" t="s">
        <v>963</v>
      </c>
      <c r="BR5" s="320" t="s">
        <v>964</v>
      </c>
      <c r="BS5" s="320" t="s">
        <v>964</v>
      </c>
      <c r="BT5" s="321" t="s">
        <v>965</v>
      </c>
      <c r="BU5" s="322" t="s">
        <v>1430</v>
      </c>
      <c r="BV5" s="346"/>
      <c r="BX5" s="91">
        <v>1</v>
      </c>
      <c r="BY5" s="376" t="str">
        <f>'GRC and TUL Assumptions'!A5</f>
        <v>Substructure</v>
      </c>
      <c r="BZ5" s="373">
        <f>'GRC and TUL Assumptions'!C5</f>
        <v>150</v>
      </c>
      <c r="CA5" s="373">
        <f>'GRC and TUL Assumptions'!D5</f>
        <v>200</v>
      </c>
      <c r="CB5" s="373">
        <f>'GRC and TUL Assumptions'!E5</f>
        <v>300</v>
      </c>
      <c r="CC5" s="373">
        <v>0</v>
      </c>
      <c r="CD5" s="373">
        <f>'GRC and TUL Assumptions'!F5</f>
        <v>40</v>
      </c>
      <c r="CE5" s="373">
        <f>'GRC and TUL Assumptions'!G5</f>
        <v>60</v>
      </c>
      <c r="CF5" s="373">
        <f>'GRC and TUL Assumptions'!H5</f>
        <v>60</v>
      </c>
      <c r="CG5" s="373">
        <f>CD5</f>
        <v>40</v>
      </c>
      <c r="CH5" s="378">
        <f t="shared" ref="CH5:CH17" si="5">(HLOOKUP(T5,$BZ$4:$CC$14,2,TRUE))*$AE5</f>
        <v>20000</v>
      </c>
      <c r="CI5" s="378">
        <f t="shared" ref="CI5:CI17" si="6">(HLOOKUP(U5,$BZ$4:$CD$14,3,TRUE))*$AE5</f>
        <v>80000</v>
      </c>
      <c r="CJ5" s="378">
        <f t="shared" ref="CJ5:CJ17" si="7">(HLOOKUP(V5,$BZ$4:$CD$14,4,TRUE))*$AE5</f>
        <v>15000</v>
      </c>
      <c r="CK5" s="378">
        <f t="shared" ref="CK5:CK17" si="8">(HLOOKUP(W5,$BZ$4:$CD$14,5,FALSE))*$AE5</f>
        <v>23000</v>
      </c>
      <c r="CL5" s="378">
        <f t="shared" ref="CL5:CL17" si="9">(HLOOKUP(X5,$BZ$4:$CD$14,6,FALSE))*$AE5</f>
        <v>35000</v>
      </c>
      <c r="CM5" s="378">
        <f t="shared" ref="CM5:CM17" si="10">(HLOOKUP(Y5,$BZ$4:$CD$14,7,FALSE))*$AE5</f>
        <v>15000</v>
      </c>
      <c r="CN5" s="378">
        <f t="shared" ref="CN5:CN17" si="11">(HLOOKUP(Z5,$BZ$4:$CD$14,8,FALSE))*$AE5</f>
        <v>10000</v>
      </c>
      <c r="CO5" s="378">
        <f t="shared" ref="CO5:CO17" si="12">(HLOOKUP(AA5,$BZ$4:$CD$14,9,FALSE))*$AE5</f>
        <v>10000</v>
      </c>
      <c r="CP5" s="378">
        <f t="shared" ref="CP5:CP17" si="13">(HLOOKUP(AB5,$BZ$4:$CD$14,10,FALSE))*$AE5</f>
        <v>13000</v>
      </c>
      <c r="CQ5" s="378">
        <f t="shared" ref="CQ5:CQ17" si="14">(HLOOKUP(AC5,$BZ$4:$CD$14,11,FALSE))*$AE5</f>
        <v>4000</v>
      </c>
      <c r="CR5" s="354">
        <f>SUM(CH5:CQ5)</f>
        <v>225000</v>
      </c>
      <c r="CS5" s="379">
        <f>(HLOOKUP($AI5,'Inflation Adjustments'!$B$3:$BT$4,2,TRUE))*CH5</f>
        <v>7763.4404135827072</v>
      </c>
      <c r="CT5" s="379">
        <f>(HLOOKUP($AI5,'Inflation Adjustments'!$B$3:$BT$4,2,TRUE))*CI5</f>
        <v>31053.761654330829</v>
      </c>
      <c r="CU5" s="379">
        <f>(HLOOKUP($AI5,'Inflation Adjustments'!$B$3:$BT$4,2,TRUE))*CJ5</f>
        <v>5822.5803101870306</v>
      </c>
      <c r="CV5" s="379">
        <f>(HLOOKUP($AI5,'Inflation Adjustments'!$B$3:$BT$4,2,TRUE))*CK5</f>
        <v>8927.9564756201125</v>
      </c>
      <c r="CW5" s="379">
        <f>(HLOOKUP($AI5,'Inflation Adjustments'!$B$3:$BT$4,2,TRUE))*CL5</f>
        <v>13586.020723769738</v>
      </c>
      <c r="CX5" s="379">
        <f>(HLOOKUP($AI5,'Inflation Adjustments'!$B$3:$BT$4,2,TRUE))*CM5</f>
        <v>5822.5803101870306</v>
      </c>
      <c r="CY5" s="379">
        <f>(HLOOKUP($AI5,'Inflation Adjustments'!$B$3:$BT$4,2,TRUE))*CN5</f>
        <v>3881.7202067913536</v>
      </c>
      <c r="CZ5" s="379">
        <f>(HLOOKUP($AI5,'Inflation Adjustments'!$B$3:$BT$4,2,TRUE))*CO5</f>
        <v>3881.7202067913536</v>
      </c>
      <c r="DA5" s="379">
        <f>(HLOOKUP($AI5,'Inflation Adjustments'!$B$3:$BT$4,2,TRUE))*CP5</f>
        <v>5046.2362688287594</v>
      </c>
      <c r="DB5" s="379">
        <f>(HLOOKUP($AI5,'Inflation Adjustments'!$B$3:$BT$4,2,TRUE))*CQ5</f>
        <v>1552.6880827165414</v>
      </c>
      <c r="DC5" s="379">
        <f>(HLOOKUP($AI5,'Inflation Adjustments'!$B$3:$BT$4,2,TRUE))*CR5</f>
        <v>87338.704652805463</v>
      </c>
      <c r="DD5" s="354">
        <f t="shared" ref="DD5:DD17" si="15">IF(($C$1-AI5-1)&lt;0,0,$C$1-AI5-1)</f>
        <v>27</v>
      </c>
      <c r="DE5" s="378">
        <f t="shared" ref="DE5:DE17" si="16">(HLOOKUP(T5,$CD$4:$CG$14,2,FALSE))</f>
        <v>60</v>
      </c>
      <c r="DF5" s="378">
        <f t="shared" ref="DF5:DF17" si="17">(HLOOKUP(U5,$CD$4:$CG$14,3,FALSE))</f>
        <v>60</v>
      </c>
      <c r="DG5" s="378">
        <f t="shared" ref="DG5:DG17" si="18">(HLOOKUP(V5,$CD$4:$CG$14,4,FALSE))</f>
        <v>20</v>
      </c>
      <c r="DH5" s="378">
        <f t="shared" ref="DH5:DH17" si="19">(HLOOKUP(W5,$CD$4:$CG$14,5,FALSE))</f>
        <v>30</v>
      </c>
      <c r="DI5" s="378">
        <f t="shared" ref="DI5:DI17" si="20">(HLOOKUP(X5,$CD$4:$CG$14,6,FALSE))</f>
        <v>60</v>
      </c>
      <c r="DJ5" s="378">
        <f t="shared" ref="DJ5:DJ17" si="21">(HLOOKUP(Y5,$CD$4:$CG$14,7,FALSE))</f>
        <v>30</v>
      </c>
      <c r="DK5" s="378">
        <f t="shared" ref="DK5:DK17" si="22">(HLOOKUP(Z5,$CD$4:$CG$14,8,FALSE))</f>
        <v>20</v>
      </c>
      <c r="DL5" s="378">
        <f t="shared" ref="DL5:DL17" si="23">(HLOOKUP(AA5,$CD$4:$CG$14,8,FALSE))</f>
        <v>20</v>
      </c>
      <c r="DM5" s="378">
        <f t="shared" ref="DM5:DM17" si="24">(HLOOKUP(AB5,$CD$4:$CG$14,9))</f>
        <v>30</v>
      </c>
      <c r="DN5" s="378">
        <f t="shared" ref="DN5:DN17" si="25">(HLOOKUP(AC5,$CD$4:$CG$14,10))</f>
        <v>30</v>
      </c>
      <c r="DO5" s="380">
        <f t="shared" ref="DO5:DO17" si="26">CS5/DE5</f>
        <v>129.39067355971179</v>
      </c>
      <c r="DP5" s="380">
        <f t="shared" ref="DP5:DX15" si="27">CT5/DF5</f>
        <v>517.56269423884714</v>
      </c>
      <c r="DQ5" s="380">
        <f t="shared" si="27"/>
        <v>291.12901550935152</v>
      </c>
      <c r="DR5" s="380">
        <f t="shared" si="27"/>
        <v>297.59854918733708</v>
      </c>
      <c r="DS5" s="380">
        <f t="shared" si="27"/>
        <v>226.43367872949563</v>
      </c>
      <c r="DT5" s="380">
        <f t="shared" si="27"/>
        <v>194.08601033956768</v>
      </c>
      <c r="DU5" s="380">
        <f t="shared" si="27"/>
        <v>194.08601033956768</v>
      </c>
      <c r="DV5" s="380">
        <f t="shared" si="27"/>
        <v>194.08601033956768</v>
      </c>
      <c r="DW5" s="380">
        <f t="shared" si="27"/>
        <v>168.20787562762533</v>
      </c>
      <c r="DX5" s="380">
        <f t="shared" si="27"/>
        <v>51.756269423884717</v>
      </c>
      <c r="DY5" s="380">
        <f>SUM(DO5:DX5)</f>
        <v>2264.3367872949561</v>
      </c>
      <c r="DZ5" s="378">
        <f t="shared" ref="DZ5:DZ17" si="28">IF(DO5*$DD5&gt;CS5,CS5,DO5*$DD5)</f>
        <v>3493.548186112218</v>
      </c>
      <c r="EA5" s="378">
        <f t="shared" ref="EA5:EI15" si="29">IF(DP5*$DD5&gt;CT5,CT5,DP5*$DD5)</f>
        <v>13974.192744448872</v>
      </c>
      <c r="EB5" s="378">
        <f t="shared" si="29"/>
        <v>5822.5803101870306</v>
      </c>
      <c r="EC5" s="378">
        <f t="shared" si="29"/>
        <v>8035.1608280581013</v>
      </c>
      <c r="ED5" s="378">
        <f t="shared" si="29"/>
        <v>6113.7093256963817</v>
      </c>
      <c r="EE5" s="378">
        <f t="shared" si="29"/>
        <v>5240.3222791683274</v>
      </c>
      <c r="EF5" s="378">
        <f t="shared" si="29"/>
        <v>3881.7202067913536</v>
      </c>
      <c r="EG5" s="378">
        <f t="shared" si="29"/>
        <v>3881.7202067913536</v>
      </c>
      <c r="EH5" s="378">
        <f t="shared" si="29"/>
        <v>4541.6126419458842</v>
      </c>
      <c r="EI5" s="378">
        <f t="shared" si="29"/>
        <v>1397.4192744448874</v>
      </c>
      <c r="EJ5" s="354">
        <f>SUM(DZ5:EI5)</f>
        <v>56381.986003644408</v>
      </c>
      <c r="EK5" s="380">
        <f t="shared" ref="EK5:EK17" si="30">IF(DO5&lt;(CS5-DZ5),DO5,(CS5-DZ5))</f>
        <v>129.39067355971179</v>
      </c>
      <c r="EL5" s="380">
        <f t="shared" ref="EL5:ET15" si="31">IF(DP5&lt;(CT5-EA5),DP5,(CT5-EA5))</f>
        <v>517.56269423884714</v>
      </c>
      <c r="EM5" s="380">
        <f t="shared" si="31"/>
        <v>0</v>
      </c>
      <c r="EN5" s="380">
        <f t="shared" si="31"/>
        <v>297.59854918733708</v>
      </c>
      <c r="EO5" s="380">
        <f t="shared" si="31"/>
        <v>226.43367872949563</v>
      </c>
      <c r="EP5" s="380">
        <f t="shared" si="31"/>
        <v>194.08601033956768</v>
      </c>
      <c r="EQ5" s="380">
        <f t="shared" si="31"/>
        <v>0</v>
      </c>
      <c r="ER5" s="380">
        <f t="shared" si="31"/>
        <v>0</v>
      </c>
      <c r="ES5" s="380">
        <f t="shared" si="31"/>
        <v>168.20787562762533</v>
      </c>
      <c r="ET5" s="380">
        <f t="shared" si="31"/>
        <v>51.756269423884717</v>
      </c>
      <c r="EU5" s="379">
        <f>SUM(EK5:ET5)</f>
        <v>1585.0357511064694</v>
      </c>
      <c r="EV5" s="381"/>
      <c r="EW5" s="354"/>
      <c r="EX5" s="381"/>
      <c r="EY5" s="381"/>
      <c r="EZ5" s="378"/>
      <c r="FA5" s="378"/>
      <c r="FB5" s="378"/>
      <c r="FE5" s="634" t="s">
        <v>1665</v>
      </c>
      <c r="FF5" s="634"/>
      <c r="FG5" s="634"/>
      <c r="FH5" s="634"/>
      <c r="FI5" s="634"/>
      <c r="FJ5" s="634"/>
      <c r="FK5" s="634"/>
      <c r="FL5" s="634"/>
      <c r="FM5" s="634"/>
    </row>
    <row r="6" spans="1:169" ht="35" customHeight="1" x14ac:dyDescent="0.3">
      <c r="A6" s="330" t="s">
        <v>1760</v>
      </c>
      <c r="B6" s="318" t="s">
        <v>1649</v>
      </c>
      <c r="C6" s="318" t="s">
        <v>71</v>
      </c>
      <c r="D6" s="318" t="s">
        <v>78</v>
      </c>
      <c r="E6" s="318" t="s">
        <v>8</v>
      </c>
      <c r="F6" s="318" t="s">
        <v>274</v>
      </c>
      <c r="G6" s="318" t="s">
        <v>1174</v>
      </c>
      <c r="H6" s="331" t="s">
        <v>1134</v>
      </c>
      <c r="I6" s="331" t="s">
        <v>1135</v>
      </c>
      <c r="J6" s="318" t="s">
        <v>1045</v>
      </c>
      <c r="K6" s="318" t="s">
        <v>1046</v>
      </c>
      <c r="L6" s="318" t="s">
        <v>1055</v>
      </c>
      <c r="M6" s="318" t="s">
        <v>1059</v>
      </c>
      <c r="N6" s="318" t="s">
        <v>1069</v>
      </c>
      <c r="O6" s="318" t="s">
        <v>1371</v>
      </c>
      <c r="P6" s="318" t="s">
        <v>1077</v>
      </c>
      <c r="Q6" s="318" t="s">
        <v>1082</v>
      </c>
      <c r="R6" s="318" t="s">
        <v>1086</v>
      </c>
      <c r="S6" s="318" t="s">
        <v>1089</v>
      </c>
      <c r="T6" s="318" t="s">
        <v>104</v>
      </c>
      <c r="U6" s="318" t="s">
        <v>104</v>
      </c>
      <c r="V6" s="318" t="s">
        <v>104</v>
      </c>
      <c r="W6" s="318" t="s">
        <v>104</v>
      </c>
      <c r="X6" s="318" t="s">
        <v>104</v>
      </c>
      <c r="Y6" s="318" t="s">
        <v>104</v>
      </c>
      <c r="Z6" s="318" t="s">
        <v>104</v>
      </c>
      <c r="AA6" s="318" t="s">
        <v>104</v>
      </c>
      <c r="AB6" s="318" t="s">
        <v>104</v>
      </c>
      <c r="AC6" s="318" t="s">
        <v>104</v>
      </c>
      <c r="AD6" s="318" t="s">
        <v>1771</v>
      </c>
      <c r="AE6" s="318">
        <v>1650</v>
      </c>
      <c r="AF6" s="318">
        <f>DF6</f>
        <v>60</v>
      </c>
      <c r="AG6" s="318">
        <v>1995</v>
      </c>
      <c r="AH6" s="318" t="s">
        <v>800</v>
      </c>
      <c r="AI6" s="318">
        <f>AG6</f>
        <v>1995</v>
      </c>
      <c r="AJ6" s="318" t="str">
        <f>AH6</f>
        <v>Estimated</v>
      </c>
      <c r="AK6" s="318">
        <v>2015</v>
      </c>
      <c r="AL6" s="318" t="s">
        <v>1146</v>
      </c>
      <c r="AM6" s="317">
        <f t="shared" ref="AM6:AM12" si="32">DC6+EW6</f>
        <v>2473331.1676760064</v>
      </c>
      <c r="AN6" s="318" t="s">
        <v>800</v>
      </c>
      <c r="AO6" s="511">
        <f t="shared" ref="AO6:AO12" si="33">EJ6+FA6</f>
        <v>1136751.2772410761</v>
      </c>
      <c r="AP6" s="511">
        <f t="shared" ref="AP6:AP12" si="34">AM6-AO6</f>
        <v>1336579.8904349303</v>
      </c>
      <c r="AQ6" s="511">
        <f t="shared" ref="AQ6:AQ12" si="35">EU6+FB6</f>
        <v>77765.216938492551</v>
      </c>
      <c r="AR6" s="511">
        <f t="shared" ref="AR6:AR12" si="36">AP6-AQ6</f>
        <v>1258814.6734964377</v>
      </c>
      <c r="AS6" s="511">
        <f>HLOOKUP($C$1,'Inflation Adjustments'!$BI$3:$BT$4,2)*CR6</f>
        <v>5541915.5859374991</v>
      </c>
      <c r="AT6" s="511">
        <f>IF(BU6="In Service",'Maintenace Cost Assumptions'!$B$3*AS6,0)</f>
        <v>27709.577929687497</v>
      </c>
      <c r="AU6" s="318">
        <v>3</v>
      </c>
      <c r="AV6" s="318">
        <v>3</v>
      </c>
      <c r="AW6" s="318">
        <v>2</v>
      </c>
      <c r="AX6" s="318">
        <v>3</v>
      </c>
      <c r="AY6" s="318">
        <v>2</v>
      </c>
      <c r="AZ6" s="318">
        <v>3</v>
      </c>
      <c r="BA6" s="318">
        <v>2</v>
      </c>
      <c r="BB6" s="318"/>
      <c r="BC6" s="318"/>
      <c r="BD6" s="318"/>
      <c r="BE6" s="318">
        <v>2</v>
      </c>
      <c r="BF6" s="318"/>
      <c r="BG6" s="332">
        <f>(AU6*'Condition rating weights'!H$8+AV6*'Condition rating weights'!I$8+AW6*'Condition rating weights'!J$8+AX6*'Condition rating weights'!K$8+AY6*'Condition rating weights'!L$8+AZ6*'Condition rating weights'!M$8+BA6*'Condition rating weights'!N$8+BB6*'Condition rating weights'!O$8+BC6*'Condition rating weights'!P$8+BD6*'Condition rating weights'!Q$8+BE6*'Condition rating weights'!R$8+BF6*'Condition rating weights'!S$8)/100</f>
        <v>0.5</v>
      </c>
      <c r="BH6" s="333">
        <v>1</v>
      </c>
      <c r="BI6" s="333">
        <v>211</v>
      </c>
      <c r="BJ6" s="333" t="s">
        <v>12</v>
      </c>
      <c r="BK6" s="333" t="s">
        <v>959</v>
      </c>
      <c r="BL6" s="333" t="s">
        <v>960</v>
      </c>
      <c r="BM6" s="333" t="s">
        <v>961</v>
      </c>
      <c r="BN6" s="333" t="s">
        <v>117</v>
      </c>
      <c r="BO6" s="333" t="s">
        <v>962</v>
      </c>
      <c r="BP6" s="333" t="s">
        <v>962</v>
      </c>
      <c r="BQ6" s="333" t="s">
        <v>963</v>
      </c>
      <c r="BR6" s="333" t="s">
        <v>964</v>
      </c>
      <c r="BS6" s="333" t="s">
        <v>964</v>
      </c>
      <c r="BT6" s="334" t="s">
        <v>965</v>
      </c>
      <c r="BU6" s="335" t="s">
        <v>1430</v>
      </c>
      <c r="BV6" s="255"/>
      <c r="BX6" s="91">
        <v>2</v>
      </c>
      <c r="BY6" s="376" t="str">
        <f>'GRC and TUL Assumptions'!A6</f>
        <v>Structure</v>
      </c>
      <c r="BZ6" s="373">
        <f>'GRC and TUL Assumptions'!C6</f>
        <v>500</v>
      </c>
      <c r="CA6" s="373">
        <f>'GRC and TUL Assumptions'!D6</f>
        <v>800</v>
      </c>
      <c r="CB6" s="373">
        <f>'GRC and TUL Assumptions'!E6</f>
        <v>1500</v>
      </c>
      <c r="CC6" s="373">
        <v>0</v>
      </c>
      <c r="CD6" s="373">
        <f>'GRC and TUL Assumptions'!F6</f>
        <v>40</v>
      </c>
      <c r="CE6" s="373">
        <f>'GRC and TUL Assumptions'!G6</f>
        <v>60</v>
      </c>
      <c r="CF6" s="373">
        <f>'GRC and TUL Assumptions'!H6</f>
        <v>60</v>
      </c>
      <c r="CG6" s="373">
        <f t="shared" ref="CG6:CG14" si="37">CD6</f>
        <v>40</v>
      </c>
      <c r="CH6" s="378">
        <f t="shared" si="5"/>
        <v>330000</v>
      </c>
      <c r="CI6" s="378">
        <f t="shared" si="6"/>
        <v>1320000</v>
      </c>
      <c r="CJ6" s="378">
        <f t="shared" si="7"/>
        <v>247500</v>
      </c>
      <c r="CK6" s="378">
        <f t="shared" si="8"/>
        <v>379500</v>
      </c>
      <c r="CL6" s="378">
        <f t="shared" si="9"/>
        <v>577500</v>
      </c>
      <c r="CM6" s="378">
        <f t="shared" si="10"/>
        <v>247500</v>
      </c>
      <c r="CN6" s="378">
        <f t="shared" si="11"/>
        <v>165000</v>
      </c>
      <c r="CO6" s="378">
        <f t="shared" si="12"/>
        <v>165000</v>
      </c>
      <c r="CP6" s="378">
        <f t="shared" si="13"/>
        <v>214500</v>
      </c>
      <c r="CQ6" s="378">
        <f t="shared" si="14"/>
        <v>66000</v>
      </c>
      <c r="CR6" s="354">
        <f t="shared" ref="CR6:CR17" si="38">SUM(CH6:CQ6)</f>
        <v>3712500</v>
      </c>
      <c r="CS6" s="379">
        <f>(HLOOKUP($AI6,'Inflation Adjustments'!$B$3:$BT$4,2,TRUE))*CH6</f>
        <v>128096.76682411467</v>
      </c>
      <c r="CT6" s="379">
        <f>(HLOOKUP($AI6,'Inflation Adjustments'!$B$3:$BT$4,2,TRUE))*CI6</f>
        <v>512387.0672964587</v>
      </c>
      <c r="CU6" s="379">
        <f>(HLOOKUP($AI6,'Inflation Adjustments'!$B$3:$BT$4,2,TRUE))*CJ6</f>
        <v>96072.57511808601</v>
      </c>
      <c r="CV6" s="379">
        <f>(HLOOKUP($AI6,'Inflation Adjustments'!$B$3:$BT$4,2,TRUE))*CK6</f>
        <v>147311.28184773188</v>
      </c>
      <c r="CW6" s="379">
        <f>(HLOOKUP($AI6,'Inflation Adjustments'!$B$3:$BT$4,2,TRUE))*CL6</f>
        <v>224169.34194220067</v>
      </c>
      <c r="CX6" s="379">
        <f>(HLOOKUP($AI6,'Inflation Adjustments'!$B$3:$BT$4,2,TRUE))*CM6</f>
        <v>96072.57511808601</v>
      </c>
      <c r="CY6" s="379">
        <f>(HLOOKUP($AI6,'Inflation Adjustments'!$B$3:$BT$4,2,TRUE))*CN6</f>
        <v>64048.383412057337</v>
      </c>
      <c r="CZ6" s="379">
        <f>(HLOOKUP($AI6,'Inflation Adjustments'!$B$3:$BT$4,2,TRUE))*CO6</f>
        <v>64048.383412057337</v>
      </c>
      <c r="DA6" s="379">
        <f>(HLOOKUP($AI6,'Inflation Adjustments'!$B$3:$BT$4,2,TRUE))*CP6</f>
        <v>83262.898435674535</v>
      </c>
      <c r="DB6" s="379">
        <f>(HLOOKUP($AI6,'Inflation Adjustments'!$B$3:$BT$4,2,TRUE))*CQ6</f>
        <v>25619.353364822935</v>
      </c>
      <c r="DC6" s="379">
        <f>(HLOOKUP($AI6,'Inflation Adjustments'!$B$3:$BT$4,2,TRUE))*CR6</f>
        <v>1441088.6267712901</v>
      </c>
      <c r="DD6" s="354">
        <f t="shared" si="15"/>
        <v>27</v>
      </c>
      <c r="DE6" s="378">
        <f t="shared" si="16"/>
        <v>60</v>
      </c>
      <c r="DF6" s="381">
        <f t="shared" si="17"/>
        <v>60</v>
      </c>
      <c r="DG6" s="378">
        <f t="shared" si="18"/>
        <v>20</v>
      </c>
      <c r="DH6" s="378">
        <f t="shared" si="19"/>
        <v>30</v>
      </c>
      <c r="DI6" s="378">
        <f t="shared" si="20"/>
        <v>60</v>
      </c>
      <c r="DJ6" s="378">
        <f t="shared" si="21"/>
        <v>30</v>
      </c>
      <c r="DK6" s="378">
        <f t="shared" si="22"/>
        <v>20</v>
      </c>
      <c r="DL6" s="378">
        <f t="shared" si="23"/>
        <v>20</v>
      </c>
      <c r="DM6" s="378">
        <f t="shared" si="24"/>
        <v>30</v>
      </c>
      <c r="DN6" s="378">
        <f t="shared" si="25"/>
        <v>30</v>
      </c>
      <c r="DO6" s="380">
        <f t="shared" si="26"/>
        <v>2134.9461137352446</v>
      </c>
      <c r="DP6" s="380">
        <f t="shared" si="27"/>
        <v>8539.7844549409783</v>
      </c>
      <c r="DQ6" s="380">
        <f t="shared" si="27"/>
        <v>4803.6287559043003</v>
      </c>
      <c r="DR6" s="380">
        <f t="shared" si="27"/>
        <v>4910.3760615910624</v>
      </c>
      <c r="DS6" s="380">
        <f t="shared" si="27"/>
        <v>3736.155699036678</v>
      </c>
      <c r="DT6" s="380">
        <f t="shared" si="27"/>
        <v>3202.4191706028669</v>
      </c>
      <c r="DU6" s="380">
        <f t="shared" si="27"/>
        <v>3202.4191706028669</v>
      </c>
      <c r="DV6" s="380">
        <f t="shared" si="27"/>
        <v>3202.4191706028669</v>
      </c>
      <c r="DW6" s="380">
        <f t="shared" si="27"/>
        <v>2775.4299478558178</v>
      </c>
      <c r="DX6" s="380">
        <f t="shared" si="27"/>
        <v>853.97844549409785</v>
      </c>
      <c r="DY6" s="380">
        <f t="shared" ref="DY6:DY17" si="39">SUM(DO6:DX6)</f>
        <v>37361.556990366771</v>
      </c>
      <c r="DZ6" s="378">
        <f t="shared" si="28"/>
        <v>57643.5450708516</v>
      </c>
      <c r="EA6" s="378">
        <f t="shared" si="29"/>
        <v>230574.1802834064</v>
      </c>
      <c r="EB6" s="378">
        <f t="shared" si="29"/>
        <v>96072.57511808601</v>
      </c>
      <c r="EC6" s="378">
        <f t="shared" si="29"/>
        <v>132580.15366295868</v>
      </c>
      <c r="ED6" s="378">
        <f t="shared" si="29"/>
        <v>100876.20387399031</v>
      </c>
      <c r="EE6" s="378">
        <f t="shared" si="29"/>
        <v>86465.3176062774</v>
      </c>
      <c r="EF6" s="378">
        <f t="shared" si="29"/>
        <v>64048.383412057337</v>
      </c>
      <c r="EG6" s="378">
        <f t="shared" si="29"/>
        <v>64048.383412057337</v>
      </c>
      <c r="EH6" s="378">
        <f t="shared" si="29"/>
        <v>74936.608592107077</v>
      </c>
      <c r="EI6" s="378">
        <f t="shared" si="29"/>
        <v>23057.418028340642</v>
      </c>
      <c r="EJ6" s="354">
        <f t="shared" ref="EJ6:EJ17" si="40">SUM(DZ6:EI6)</f>
        <v>930302.76906013279</v>
      </c>
      <c r="EK6" s="380">
        <f t="shared" si="30"/>
        <v>2134.9461137352446</v>
      </c>
      <c r="EL6" s="380">
        <f t="shared" si="31"/>
        <v>8539.7844549409783</v>
      </c>
      <c r="EM6" s="380">
        <f t="shared" si="31"/>
        <v>0</v>
      </c>
      <c r="EN6" s="380">
        <f t="shared" si="31"/>
        <v>4910.3760615910624</v>
      </c>
      <c r="EO6" s="380">
        <f t="shared" si="31"/>
        <v>3736.155699036678</v>
      </c>
      <c r="EP6" s="380">
        <f t="shared" si="31"/>
        <v>3202.4191706028669</v>
      </c>
      <c r="EQ6" s="380">
        <f t="shared" si="31"/>
        <v>0</v>
      </c>
      <c r="ER6" s="380">
        <f t="shared" si="31"/>
        <v>0</v>
      </c>
      <c r="ES6" s="380">
        <f t="shared" si="31"/>
        <v>2775.4299478558178</v>
      </c>
      <c r="ET6" s="380">
        <f t="shared" si="31"/>
        <v>853.97844549409785</v>
      </c>
      <c r="EU6" s="379">
        <f t="shared" ref="EU6:EU17" si="41">SUM(EK6:ET6)</f>
        <v>26153.089893256743</v>
      </c>
      <c r="EV6" s="381">
        <v>2018</v>
      </c>
      <c r="EW6" s="354">
        <f>(HLOOKUP($EV6,'Inflation Adjustments'!$M$3:$BT$4,2,TRUE))*(CJ6+CM6+CL6)</f>
        <v>1032242.5409047161</v>
      </c>
      <c r="EX6" s="382">
        <v>20</v>
      </c>
      <c r="EY6" s="381">
        <f>$C$1-1-EV6</f>
        <v>4</v>
      </c>
      <c r="EZ6" s="378">
        <f>EW6/EX6</f>
        <v>51612.127045235808</v>
      </c>
      <c r="FA6" s="378">
        <f>IF(EY6*EZ6&lt;EW6,EY6*EZ6,EW6)</f>
        <v>206448.50818094323</v>
      </c>
      <c r="FB6" s="378">
        <f>IF(EZ6&lt;(EW6-FA6),EZ6,(E53-FA6))</f>
        <v>51612.127045235808</v>
      </c>
      <c r="FE6" s="634"/>
      <c r="FF6" s="634"/>
      <c r="FG6" s="634"/>
      <c r="FH6" s="634"/>
      <c r="FI6" s="634"/>
      <c r="FJ6" s="634"/>
      <c r="FK6" s="634"/>
      <c r="FL6" s="634"/>
      <c r="FM6" s="634"/>
    </row>
    <row r="7" spans="1:169" ht="35" customHeight="1" x14ac:dyDescent="0.3">
      <c r="A7" s="330" t="s">
        <v>1761</v>
      </c>
      <c r="B7" s="318" t="s">
        <v>1145</v>
      </c>
      <c r="C7" s="318" t="s">
        <v>71</v>
      </c>
      <c r="D7" s="318" t="s">
        <v>78</v>
      </c>
      <c r="E7" s="318" t="s">
        <v>8</v>
      </c>
      <c r="F7" s="318" t="s">
        <v>278</v>
      </c>
      <c r="G7" s="318" t="s">
        <v>1174</v>
      </c>
      <c r="H7" s="318" t="s">
        <v>1136</v>
      </c>
      <c r="I7" s="318" t="s">
        <v>1137</v>
      </c>
      <c r="J7" s="318" t="s">
        <v>1043</v>
      </c>
      <c r="K7" s="318" t="s">
        <v>1049</v>
      </c>
      <c r="L7" s="318" t="s">
        <v>1056</v>
      </c>
      <c r="M7" s="318" t="s">
        <v>1062</v>
      </c>
      <c r="N7" s="318" t="s">
        <v>1069</v>
      </c>
      <c r="O7" s="318" t="s">
        <v>1072</v>
      </c>
      <c r="P7" s="318" t="s">
        <v>1077</v>
      </c>
      <c r="Q7" s="318" t="s">
        <v>1082</v>
      </c>
      <c r="R7" s="318" t="s">
        <v>1086</v>
      </c>
      <c r="S7" s="318" t="s">
        <v>1089</v>
      </c>
      <c r="T7" s="318" t="s">
        <v>1018</v>
      </c>
      <c r="U7" s="318" t="s">
        <v>1018</v>
      </c>
      <c r="V7" s="318" t="s">
        <v>1018</v>
      </c>
      <c r="W7" s="318" t="s">
        <v>1018</v>
      </c>
      <c r="X7" s="318" t="s">
        <v>1018</v>
      </c>
      <c r="Y7" s="318" t="s">
        <v>1018</v>
      </c>
      <c r="Z7" s="318" t="s">
        <v>1018</v>
      </c>
      <c r="AA7" s="318" t="s">
        <v>1018</v>
      </c>
      <c r="AB7" s="318" t="s">
        <v>1018</v>
      </c>
      <c r="AC7" s="318" t="s">
        <v>1018</v>
      </c>
      <c r="AD7" s="318" t="s">
        <v>1771</v>
      </c>
      <c r="AE7" s="318">
        <v>1600</v>
      </c>
      <c r="AF7" s="318">
        <f t="shared" ref="AF7:AF12" si="42">DF7</f>
        <v>60</v>
      </c>
      <c r="AG7" s="318">
        <v>2014</v>
      </c>
      <c r="AH7" s="318" t="s">
        <v>800</v>
      </c>
      <c r="AI7" s="318">
        <f t="shared" ref="AI7:AI12" si="43">AG7</f>
        <v>2014</v>
      </c>
      <c r="AJ7" s="318" t="str">
        <f t="shared" ref="AJ7:AJ12" si="44">AH7</f>
        <v>Estimated</v>
      </c>
      <c r="AK7" s="318"/>
      <c r="AL7" s="318"/>
      <c r="AM7" s="317">
        <f t="shared" si="32"/>
        <v>4681263.7841121778</v>
      </c>
      <c r="AN7" s="318" t="s">
        <v>800</v>
      </c>
      <c r="AO7" s="511">
        <f t="shared" si="33"/>
        <v>793633.60927779926</v>
      </c>
      <c r="AP7" s="511">
        <f t="shared" si="34"/>
        <v>3887630.1748343785</v>
      </c>
      <c r="AQ7" s="511">
        <f t="shared" si="35"/>
        <v>99204.201159724907</v>
      </c>
      <c r="AR7" s="511">
        <f t="shared" si="36"/>
        <v>3788425.9736746536</v>
      </c>
      <c r="AS7" s="511">
        <f>HLOOKUP($C$1,'Inflation Adjustments'!$BI$3:$BT$4,2)*CR7</f>
        <v>8884978.1999999993</v>
      </c>
      <c r="AT7" s="511">
        <f>IF(BU7="In Service",'Maintenace Cost Assumptions'!$B$3*AS7,0)</f>
        <v>44424.890999999996</v>
      </c>
      <c r="AU7" s="318">
        <v>4</v>
      </c>
      <c r="AV7" s="318">
        <v>3</v>
      </c>
      <c r="AW7" s="318">
        <v>2</v>
      </c>
      <c r="AX7" s="318">
        <v>3</v>
      </c>
      <c r="AY7" s="318">
        <v>3</v>
      </c>
      <c r="AZ7" s="318">
        <v>2</v>
      </c>
      <c r="BA7" s="318">
        <v>3</v>
      </c>
      <c r="BB7" s="318"/>
      <c r="BC7" s="318"/>
      <c r="BD7" s="318"/>
      <c r="BE7" s="318">
        <v>2</v>
      </c>
      <c r="BF7" s="318"/>
      <c r="BG7" s="332">
        <f>(AU7*'Condition rating weights'!H$8+AV7*'Condition rating weights'!I$8+AW7*'Condition rating weights'!J$8+AX7*'Condition rating weights'!K$8+AY7*'Condition rating weights'!L$8+AZ7*'Condition rating weights'!M$8+BA7*'Condition rating weights'!N$8+BB7*'Condition rating weights'!O$8+BC7*'Condition rating weights'!P$8+BD7*'Condition rating weights'!Q$8+BE7*'Condition rating weights'!R$8+BF7*'Condition rating weights'!S$8)/100</f>
        <v>0.55000000000000004</v>
      </c>
      <c r="BH7" s="333">
        <v>1</v>
      </c>
      <c r="BI7" s="333">
        <v>411</v>
      </c>
      <c r="BJ7" s="333" t="s">
        <v>12</v>
      </c>
      <c r="BK7" s="333" t="s">
        <v>959</v>
      </c>
      <c r="BL7" s="333" t="s">
        <v>960</v>
      </c>
      <c r="BM7" s="333" t="s">
        <v>961</v>
      </c>
      <c r="BN7" s="333" t="s">
        <v>117</v>
      </c>
      <c r="BO7" s="333" t="s">
        <v>962</v>
      </c>
      <c r="BP7" s="333" t="s">
        <v>962</v>
      </c>
      <c r="BQ7" s="333" t="s">
        <v>963</v>
      </c>
      <c r="BR7" s="333" t="s">
        <v>964</v>
      </c>
      <c r="BS7" s="333" t="s">
        <v>964</v>
      </c>
      <c r="BT7" s="334" t="s">
        <v>965</v>
      </c>
      <c r="BU7" s="335" t="s">
        <v>1430</v>
      </c>
      <c r="BV7" s="255"/>
      <c r="BX7" s="91">
        <v>3</v>
      </c>
      <c r="BY7" s="376" t="str">
        <f>'GRC and TUL Assumptions'!A7</f>
        <v>Roofing</v>
      </c>
      <c r="BZ7" s="373">
        <f>'GRC and TUL Assumptions'!C7</f>
        <v>100</v>
      </c>
      <c r="CA7" s="373">
        <f>'GRC and TUL Assumptions'!D7</f>
        <v>150</v>
      </c>
      <c r="CB7" s="373">
        <f>'GRC and TUL Assumptions'!E7</f>
        <v>300</v>
      </c>
      <c r="CC7" s="373">
        <v>0</v>
      </c>
      <c r="CD7" s="373">
        <f>'GRC and TUL Assumptions'!F7</f>
        <v>10</v>
      </c>
      <c r="CE7" s="373">
        <f>'GRC and TUL Assumptions'!G7</f>
        <v>20</v>
      </c>
      <c r="CF7" s="373">
        <f>'GRC and TUL Assumptions'!H7</f>
        <v>30</v>
      </c>
      <c r="CG7" s="373">
        <f t="shared" si="37"/>
        <v>10</v>
      </c>
      <c r="CH7" s="378">
        <f t="shared" si="5"/>
        <v>480000</v>
      </c>
      <c r="CI7" s="378">
        <f t="shared" si="6"/>
        <v>2400000</v>
      </c>
      <c r="CJ7" s="378">
        <f t="shared" si="7"/>
        <v>480000</v>
      </c>
      <c r="CK7" s="378">
        <f t="shared" si="8"/>
        <v>480000</v>
      </c>
      <c r="CL7" s="378">
        <f t="shared" si="9"/>
        <v>800000</v>
      </c>
      <c r="CM7" s="378">
        <f t="shared" si="10"/>
        <v>480000</v>
      </c>
      <c r="CN7" s="378">
        <f t="shared" si="11"/>
        <v>240000</v>
      </c>
      <c r="CO7" s="378">
        <f t="shared" si="12"/>
        <v>240000</v>
      </c>
      <c r="CP7" s="378">
        <f t="shared" si="13"/>
        <v>240000</v>
      </c>
      <c r="CQ7" s="378">
        <f t="shared" si="14"/>
        <v>112000</v>
      </c>
      <c r="CR7" s="354">
        <f t="shared" si="38"/>
        <v>5952000</v>
      </c>
      <c r="CS7" s="379">
        <f>(HLOOKUP($AI7,'Inflation Adjustments'!$B$3:$BT$4,2,TRUE))*CH7</f>
        <v>377521.27291227243</v>
      </c>
      <c r="CT7" s="379">
        <f>(HLOOKUP($AI7,'Inflation Adjustments'!$B$3:$BT$4,2,TRUE))*CI7</f>
        <v>1887606.3645613622</v>
      </c>
      <c r="CU7" s="379">
        <f>(HLOOKUP($AI7,'Inflation Adjustments'!$B$3:$BT$4,2,TRUE))*CJ7</f>
        <v>377521.27291227243</v>
      </c>
      <c r="CV7" s="379">
        <f>(HLOOKUP($AI7,'Inflation Adjustments'!$B$3:$BT$4,2,TRUE))*CK7</f>
        <v>377521.27291227243</v>
      </c>
      <c r="CW7" s="379">
        <f>(HLOOKUP($AI7,'Inflation Adjustments'!$B$3:$BT$4,2,TRUE))*CL7</f>
        <v>629202.12152045406</v>
      </c>
      <c r="CX7" s="379">
        <f>(HLOOKUP($AI7,'Inflation Adjustments'!$B$3:$BT$4,2,TRUE))*CM7</f>
        <v>377521.27291227243</v>
      </c>
      <c r="CY7" s="379">
        <f>(HLOOKUP($AI7,'Inflation Adjustments'!$B$3:$BT$4,2,TRUE))*CN7</f>
        <v>188760.63645613621</v>
      </c>
      <c r="CZ7" s="379">
        <f>(HLOOKUP($AI7,'Inflation Adjustments'!$B$3:$BT$4,2,TRUE))*CO7</f>
        <v>188760.63645613621</v>
      </c>
      <c r="DA7" s="379">
        <f>(HLOOKUP($AI7,'Inflation Adjustments'!$B$3:$BT$4,2,TRUE))*CP7</f>
        <v>188760.63645613621</v>
      </c>
      <c r="DB7" s="379">
        <f>(HLOOKUP($AI7,'Inflation Adjustments'!$B$3:$BT$4,2,TRUE))*CQ7</f>
        <v>88088.297012863564</v>
      </c>
      <c r="DC7" s="379">
        <f>(HLOOKUP($AI7,'Inflation Adjustments'!$B$3:$BT$4,2,TRUE))*CR7</f>
        <v>4681263.7841121778</v>
      </c>
      <c r="DD7" s="354">
        <f t="shared" si="15"/>
        <v>8</v>
      </c>
      <c r="DE7" s="378">
        <f t="shared" si="16"/>
        <v>60</v>
      </c>
      <c r="DF7" s="374">
        <f t="shared" si="17"/>
        <v>60</v>
      </c>
      <c r="DG7" s="378">
        <f t="shared" si="18"/>
        <v>30</v>
      </c>
      <c r="DH7" s="378">
        <f t="shared" si="19"/>
        <v>40</v>
      </c>
      <c r="DI7" s="378">
        <f t="shared" si="20"/>
        <v>60</v>
      </c>
      <c r="DJ7" s="378">
        <f t="shared" si="21"/>
        <v>40</v>
      </c>
      <c r="DK7" s="378">
        <f t="shared" si="22"/>
        <v>30</v>
      </c>
      <c r="DL7" s="378">
        <f t="shared" si="23"/>
        <v>30</v>
      </c>
      <c r="DM7" s="378">
        <f t="shared" si="24"/>
        <v>40</v>
      </c>
      <c r="DN7" s="378">
        <f t="shared" si="25"/>
        <v>40</v>
      </c>
      <c r="DO7" s="380">
        <f t="shared" si="26"/>
        <v>6292.0212152045406</v>
      </c>
      <c r="DP7" s="380">
        <f t="shared" si="27"/>
        <v>31460.106076022705</v>
      </c>
      <c r="DQ7" s="380">
        <f t="shared" si="27"/>
        <v>12584.042430409081</v>
      </c>
      <c r="DR7" s="380">
        <f t="shared" si="27"/>
        <v>9438.0318228068099</v>
      </c>
      <c r="DS7" s="380">
        <f t="shared" si="27"/>
        <v>10486.702025340901</v>
      </c>
      <c r="DT7" s="380">
        <f t="shared" si="27"/>
        <v>9438.0318228068099</v>
      </c>
      <c r="DU7" s="380">
        <f t="shared" si="27"/>
        <v>6292.0212152045406</v>
      </c>
      <c r="DV7" s="380">
        <f t="shared" si="27"/>
        <v>6292.0212152045406</v>
      </c>
      <c r="DW7" s="380">
        <f t="shared" si="27"/>
        <v>4719.015911403405</v>
      </c>
      <c r="DX7" s="380">
        <f t="shared" si="27"/>
        <v>2202.2074253215892</v>
      </c>
      <c r="DY7" s="380">
        <f t="shared" si="39"/>
        <v>99204.201159724907</v>
      </c>
      <c r="DZ7" s="378">
        <f t="shared" si="28"/>
        <v>50336.169721636325</v>
      </c>
      <c r="EA7" s="378">
        <f t="shared" si="29"/>
        <v>251680.84860818164</v>
      </c>
      <c r="EB7" s="378">
        <f t="shared" si="29"/>
        <v>100672.33944327265</v>
      </c>
      <c r="EC7" s="378">
        <f t="shared" si="29"/>
        <v>75504.25458245448</v>
      </c>
      <c r="ED7" s="378">
        <f t="shared" si="29"/>
        <v>83893.616202727208</v>
      </c>
      <c r="EE7" s="378">
        <f t="shared" si="29"/>
        <v>75504.25458245448</v>
      </c>
      <c r="EF7" s="378">
        <f t="shared" si="29"/>
        <v>50336.169721636325</v>
      </c>
      <c r="EG7" s="378">
        <f t="shared" si="29"/>
        <v>50336.169721636325</v>
      </c>
      <c r="EH7" s="378">
        <f t="shared" si="29"/>
        <v>37752.12729122724</v>
      </c>
      <c r="EI7" s="378">
        <f t="shared" si="29"/>
        <v>17617.659402572714</v>
      </c>
      <c r="EJ7" s="354">
        <f t="shared" si="40"/>
        <v>793633.60927779926</v>
      </c>
      <c r="EK7" s="380">
        <f t="shared" si="30"/>
        <v>6292.0212152045406</v>
      </c>
      <c r="EL7" s="380">
        <f t="shared" si="31"/>
        <v>31460.106076022705</v>
      </c>
      <c r="EM7" s="380">
        <f t="shared" si="31"/>
        <v>12584.042430409081</v>
      </c>
      <c r="EN7" s="380">
        <f t="shared" si="31"/>
        <v>9438.0318228068099</v>
      </c>
      <c r="EO7" s="380">
        <f t="shared" si="31"/>
        <v>10486.702025340901</v>
      </c>
      <c r="EP7" s="380">
        <f t="shared" si="31"/>
        <v>9438.0318228068099</v>
      </c>
      <c r="EQ7" s="380">
        <f t="shared" si="31"/>
        <v>6292.0212152045406</v>
      </c>
      <c r="ER7" s="380">
        <f t="shared" si="31"/>
        <v>6292.0212152045406</v>
      </c>
      <c r="ES7" s="380">
        <f t="shared" si="31"/>
        <v>4719.015911403405</v>
      </c>
      <c r="ET7" s="380">
        <f t="shared" si="31"/>
        <v>2202.2074253215892</v>
      </c>
      <c r="EU7" s="379">
        <f t="shared" si="41"/>
        <v>99204.201159724907</v>
      </c>
      <c r="EV7" s="381"/>
      <c r="EW7" s="354"/>
      <c r="EX7" s="378"/>
      <c r="EY7" s="381"/>
      <c r="EZ7" s="378"/>
      <c r="FA7" s="378"/>
      <c r="FB7" s="378"/>
      <c r="FE7" s="634"/>
      <c r="FF7" s="634"/>
      <c r="FG7" s="634"/>
      <c r="FH7" s="634"/>
      <c r="FI7" s="634"/>
      <c r="FJ7" s="634"/>
      <c r="FK7" s="634"/>
      <c r="FL7" s="634"/>
      <c r="FM7" s="634"/>
    </row>
    <row r="8" spans="1:169" ht="35" customHeight="1" x14ac:dyDescent="0.3">
      <c r="A8" s="330" t="s">
        <v>1762</v>
      </c>
      <c r="B8" s="318" t="s">
        <v>1382</v>
      </c>
      <c r="C8" s="318" t="s">
        <v>71</v>
      </c>
      <c r="D8" s="318" t="s">
        <v>323</v>
      </c>
      <c r="E8" s="318" t="s">
        <v>8</v>
      </c>
      <c r="F8" s="318" t="s">
        <v>283</v>
      </c>
      <c r="G8" s="318" t="s">
        <v>1174</v>
      </c>
      <c r="H8" s="318" t="s">
        <v>1138</v>
      </c>
      <c r="I8" s="318" t="s">
        <v>1137</v>
      </c>
      <c r="J8" s="318" t="s">
        <v>1043</v>
      </c>
      <c r="K8" s="318" t="s">
        <v>1050</v>
      </c>
      <c r="L8" s="318" t="s">
        <v>1055</v>
      </c>
      <c r="M8" s="318" t="s">
        <v>1062</v>
      </c>
      <c r="N8" s="318" t="s">
        <v>1068</v>
      </c>
      <c r="O8" s="318" t="s">
        <v>1072</v>
      </c>
      <c r="P8" s="318" t="s">
        <v>1077</v>
      </c>
      <c r="Q8" s="318" t="s">
        <v>1080</v>
      </c>
      <c r="R8" s="318" t="s">
        <v>1086</v>
      </c>
      <c r="S8" s="318" t="s">
        <v>1089</v>
      </c>
      <c r="T8" s="318" t="s">
        <v>102</v>
      </c>
      <c r="U8" s="318" t="s">
        <v>102</v>
      </c>
      <c r="V8" s="318" t="s">
        <v>102</v>
      </c>
      <c r="W8" s="318" t="s">
        <v>102</v>
      </c>
      <c r="X8" s="318" t="s">
        <v>102</v>
      </c>
      <c r="Y8" s="318" t="s">
        <v>102</v>
      </c>
      <c r="Z8" s="318" t="s">
        <v>102</v>
      </c>
      <c r="AA8" s="318" t="s">
        <v>102</v>
      </c>
      <c r="AB8" s="318" t="s">
        <v>102</v>
      </c>
      <c r="AC8" s="318" t="s">
        <v>102</v>
      </c>
      <c r="AD8" s="318" t="s">
        <v>1771</v>
      </c>
      <c r="AE8" s="318">
        <f>12*2.5</f>
        <v>30</v>
      </c>
      <c r="AF8" s="318">
        <f t="shared" si="42"/>
        <v>40</v>
      </c>
      <c r="AG8" s="318">
        <v>2017</v>
      </c>
      <c r="AH8" s="318" t="s">
        <v>982</v>
      </c>
      <c r="AI8" s="318">
        <f t="shared" si="43"/>
        <v>2017</v>
      </c>
      <c r="AJ8" s="318" t="str">
        <f t="shared" si="44"/>
        <v>Actual</v>
      </c>
      <c r="AK8" s="318"/>
      <c r="AL8" s="318"/>
      <c r="AM8" s="317">
        <f t="shared" si="32"/>
        <v>44163.844205737318</v>
      </c>
      <c r="AN8" s="318" t="s">
        <v>800</v>
      </c>
      <c r="AO8" s="511">
        <f t="shared" si="33"/>
        <v>9669.8613130209178</v>
      </c>
      <c r="AP8" s="511">
        <f t="shared" si="34"/>
        <v>34493.982892716398</v>
      </c>
      <c r="AQ8" s="511">
        <f t="shared" si="35"/>
        <v>1933.972262604183</v>
      </c>
      <c r="AR8" s="511">
        <f t="shared" si="36"/>
        <v>32560.010630112214</v>
      </c>
      <c r="AS8" s="511">
        <f>HLOOKUP($C$1,'Inflation Adjustments'!$BI$3:$BT$4,2)*CR8</f>
        <v>68518.229062499988</v>
      </c>
      <c r="AT8" s="511">
        <f>IF(BU8="In Service",'Maintenace Cost Assumptions'!$B$3*AS8,0)</f>
        <v>342.59114531249992</v>
      </c>
      <c r="AU8" s="318">
        <v>3</v>
      </c>
      <c r="AV8" s="318">
        <v>3</v>
      </c>
      <c r="AW8" s="318">
        <v>3</v>
      </c>
      <c r="AX8" s="318">
        <v>3</v>
      </c>
      <c r="AY8" s="318">
        <v>3</v>
      </c>
      <c r="AZ8" s="318">
        <v>3</v>
      </c>
      <c r="BA8" s="318">
        <v>3</v>
      </c>
      <c r="BB8" s="318"/>
      <c r="BC8" s="318"/>
      <c r="BD8" s="318"/>
      <c r="BE8" s="318">
        <v>3</v>
      </c>
      <c r="BF8" s="318"/>
      <c r="BG8" s="332">
        <f>(AU8*'Condition rating weights'!H$8+AV8*'Condition rating weights'!I$8+AW8*'Condition rating weights'!J$8+AX8*'Condition rating weights'!K$8+AY8*'Condition rating weights'!L$8+AZ8*'Condition rating weights'!M$8+BA8*'Condition rating weights'!N$8+BB8*'Condition rating weights'!O$8+BC8*'Condition rating weights'!P$8+BD8*'Condition rating weights'!Q$8+BE8*'Condition rating weights'!R$8+BF8*'Condition rating weights'!S$8)/100</f>
        <v>0.6</v>
      </c>
      <c r="BH8" s="333">
        <v>1</v>
      </c>
      <c r="BI8" s="333">
        <v>411</v>
      </c>
      <c r="BJ8" s="333" t="s">
        <v>12</v>
      </c>
      <c r="BK8" s="333" t="s">
        <v>959</v>
      </c>
      <c r="BL8" s="333" t="s">
        <v>960</v>
      </c>
      <c r="BM8" s="333" t="s">
        <v>1015</v>
      </c>
      <c r="BN8" s="333" t="s">
        <v>117</v>
      </c>
      <c r="BO8" s="333" t="s">
        <v>1016</v>
      </c>
      <c r="BP8" s="333" t="s">
        <v>1017</v>
      </c>
      <c r="BQ8" s="333" t="s">
        <v>963</v>
      </c>
      <c r="BR8" s="333" t="s">
        <v>964</v>
      </c>
      <c r="BS8" s="333" t="s">
        <v>964</v>
      </c>
      <c r="BT8" s="334" t="s">
        <v>965</v>
      </c>
      <c r="BU8" s="335" t="s">
        <v>1430</v>
      </c>
      <c r="BV8" s="255"/>
      <c r="BY8" s="376" t="str">
        <f>'GRC and TUL Assumptions'!A8</f>
        <v>Exterior Wall Cladding</v>
      </c>
      <c r="BZ8" s="373">
        <f>'GRC and TUL Assumptions'!C8</f>
        <v>150</v>
      </c>
      <c r="CA8" s="373">
        <f>'GRC and TUL Assumptions'!D8</f>
        <v>230</v>
      </c>
      <c r="CB8" s="373">
        <f>'GRC and TUL Assumptions'!E8</f>
        <v>300</v>
      </c>
      <c r="CC8" s="373">
        <v>0</v>
      </c>
      <c r="CD8" s="373">
        <f>'GRC and TUL Assumptions'!F8</f>
        <v>20</v>
      </c>
      <c r="CE8" s="373">
        <f>'GRC and TUL Assumptions'!G8</f>
        <v>30</v>
      </c>
      <c r="CF8" s="373">
        <f>'GRC and TUL Assumptions'!H8</f>
        <v>40</v>
      </c>
      <c r="CG8" s="373">
        <f t="shared" si="37"/>
        <v>20</v>
      </c>
      <c r="CH8" s="378">
        <f t="shared" si="5"/>
        <v>4500</v>
      </c>
      <c r="CI8" s="378">
        <f t="shared" si="6"/>
        <v>15000</v>
      </c>
      <c r="CJ8" s="378">
        <f t="shared" si="7"/>
        <v>3000</v>
      </c>
      <c r="CK8" s="378">
        <f t="shared" si="8"/>
        <v>4500</v>
      </c>
      <c r="CL8" s="378">
        <f t="shared" si="9"/>
        <v>7500</v>
      </c>
      <c r="CM8" s="378">
        <f t="shared" si="10"/>
        <v>3000</v>
      </c>
      <c r="CN8" s="378">
        <f t="shared" si="11"/>
        <v>2400</v>
      </c>
      <c r="CO8" s="378">
        <f t="shared" si="12"/>
        <v>2400</v>
      </c>
      <c r="CP8" s="378">
        <f t="shared" si="13"/>
        <v>3000</v>
      </c>
      <c r="CQ8" s="378">
        <f t="shared" si="14"/>
        <v>600</v>
      </c>
      <c r="CR8" s="354">
        <f t="shared" si="38"/>
        <v>45900</v>
      </c>
      <c r="CS8" s="379">
        <f>(HLOOKUP($AI8,'Inflation Adjustments'!$B$3:$BT$4,2,TRUE))*CH8</f>
        <v>4329.7886476213062</v>
      </c>
      <c r="CT8" s="379">
        <f>(HLOOKUP($AI8,'Inflation Adjustments'!$B$3:$BT$4,2,TRUE))*CI8</f>
        <v>14432.628825404354</v>
      </c>
      <c r="CU8" s="379">
        <f>(HLOOKUP($AI8,'Inflation Adjustments'!$B$3:$BT$4,2,TRUE))*CJ8</f>
        <v>2886.5257650808708</v>
      </c>
      <c r="CV8" s="379">
        <f>(HLOOKUP($AI8,'Inflation Adjustments'!$B$3:$BT$4,2,TRUE))*CK8</f>
        <v>4329.7886476213062</v>
      </c>
      <c r="CW8" s="379">
        <f>(HLOOKUP($AI8,'Inflation Adjustments'!$B$3:$BT$4,2,TRUE))*CL8</f>
        <v>7216.3144127021769</v>
      </c>
      <c r="CX8" s="379">
        <f>(HLOOKUP($AI8,'Inflation Adjustments'!$B$3:$BT$4,2,TRUE))*CM8</f>
        <v>2886.5257650808708</v>
      </c>
      <c r="CY8" s="379">
        <f>(HLOOKUP($AI8,'Inflation Adjustments'!$B$3:$BT$4,2,TRUE))*CN8</f>
        <v>2309.2206120646965</v>
      </c>
      <c r="CZ8" s="379">
        <f>(HLOOKUP($AI8,'Inflation Adjustments'!$B$3:$BT$4,2,TRUE))*CO8</f>
        <v>2309.2206120646965</v>
      </c>
      <c r="DA8" s="379">
        <f>(HLOOKUP($AI8,'Inflation Adjustments'!$B$3:$BT$4,2,TRUE))*CP8</f>
        <v>2886.5257650808708</v>
      </c>
      <c r="DB8" s="379">
        <f>(HLOOKUP($AI8,'Inflation Adjustments'!$B$3:$BT$4,2,TRUE))*CQ8</f>
        <v>577.30515301617413</v>
      </c>
      <c r="DC8" s="379">
        <f>(HLOOKUP($AI8,'Inflation Adjustments'!$B$3:$BT$4,2,TRUE))*CR8</f>
        <v>44163.844205737318</v>
      </c>
      <c r="DD8" s="354">
        <f t="shared" si="15"/>
        <v>5</v>
      </c>
      <c r="DE8" s="378">
        <f t="shared" si="16"/>
        <v>40</v>
      </c>
      <c r="DF8" s="378">
        <f t="shared" si="17"/>
        <v>40</v>
      </c>
      <c r="DG8" s="378">
        <f t="shared" si="18"/>
        <v>10</v>
      </c>
      <c r="DH8" s="378">
        <f t="shared" si="19"/>
        <v>20</v>
      </c>
      <c r="DI8" s="378">
        <f t="shared" si="20"/>
        <v>40</v>
      </c>
      <c r="DJ8" s="378">
        <f t="shared" si="21"/>
        <v>20</v>
      </c>
      <c r="DK8" s="378">
        <f t="shared" si="22"/>
        <v>10</v>
      </c>
      <c r="DL8" s="378">
        <f t="shared" si="23"/>
        <v>10</v>
      </c>
      <c r="DM8" s="378">
        <f t="shared" si="24"/>
        <v>20</v>
      </c>
      <c r="DN8" s="378">
        <f t="shared" si="25"/>
        <v>20</v>
      </c>
      <c r="DO8" s="380">
        <f t="shared" si="26"/>
        <v>108.24471619053266</v>
      </c>
      <c r="DP8" s="380">
        <f t="shared" si="27"/>
        <v>360.81572063510885</v>
      </c>
      <c r="DQ8" s="380">
        <f t="shared" si="27"/>
        <v>288.65257650808707</v>
      </c>
      <c r="DR8" s="380">
        <f t="shared" si="27"/>
        <v>216.48943238106531</v>
      </c>
      <c r="DS8" s="380">
        <f t="shared" si="27"/>
        <v>180.40786031755442</v>
      </c>
      <c r="DT8" s="380">
        <f t="shared" si="27"/>
        <v>144.32628825404353</v>
      </c>
      <c r="DU8" s="380">
        <f t="shared" si="27"/>
        <v>230.92206120646966</v>
      </c>
      <c r="DV8" s="380">
        <f t="shared" si="27"/>
        <v>230.92206120646966</v>
      </c>
      <c r="DW8" s="380">
        <f t="shared" si="27"/>
        <v>144.32628825404353</v>
      </c>
      <c r="DX8" s="380">
        <f t="shared" si="27"/>
        <v>28.865257650808708</v>
      </c>
      <c r="DY8" s="380">
        <f t="shared" si="39"/>
        <v>1933.972262604183</v>
      </c>
      <c r="DZ8" s="378">
        <f t="shared" si="28"/>
        <v>541.22358095266327</v>
      </c>
      <c r="EA8" s="378">
        <f t="shared" si="29"/>
        <v>1804.0786031755442</v>
      </c>
      <c r="EB8" s="378">
        <f t="shared" si="29"/>
        <v>1443.2628825404354</v>
      </c>
      <c r="EC8" s="378">
        <f t="shared" si="29"/>
        <v>1082.4471619053265</v>
      </c>
      <c r="ED8" s="378">
        <f t="shared" si="29"/>
        <v>902.03930158777212</v>
      </c>
      <c r="EE8" s="378">
        <f t="shared" si="29"/>
        <v>721.63144127021769</v>
      </c>
      <c r="EF8" s="378">
        <f t="shared" si="29"/>
        <v>1154.6103060323483</v>
      </c>
      <c r="EG8" s="378">
        <f t="shared" si="29"/>
        <v>1154.6103060323483</v>
      </c>
      <c r="EH8" s="378">
        <f t="shared" si="29"/>
        <v>721.63144127021769</v>
      </c>
      <c r="EI8" s="378">
        <f t="shared" si="29"/>
        <v>144.32628825404353</v>
      </c>
      <c r="EJ8" s="354">
        <f t="shared" si="40"/>
        <v>9669.8613130209178</v>
      </c>
      <c r="EK8" s="380">
        <f t="shared" si="30"/>
        <v>108.24471619053266</v>
      </c>
      <c r="EL8" s="380">
        <f t="shared" si="31"/>
        <v>360.81572063510885</v>
      </c>
      <c r="EM8" s="380">
        <f t="shared" si="31"/>
        <v>288.65257650808707</v>
      </c>
      <c r="EN8" s="380">
        <f t="shared" si="31"/>
        <v>216.48943238106531</v>
      </c>
      <c r="EO8" s="380">
        <f t="shared" si="31"/>
        <v>180.40786031755442</v>
      </c>
      <c r="EP8" s="380">
        <f t="shared" si="31"/>
        <v>144.32628825404353</v>
      </c>
      <c r="EQ8" s="380">
        <f t="shared" si="31"/>
        <v>230.92206120646966</v>
      </c>
      <c r="ER8" s="380">
        <f t="shared" si="31"/>
        <v>230.92206120646966</v>
      </c>
      <c r="ES8" s="380">
        <f t="shared" si="31"/>
        <v>144.32628825404353</v>
      </c>
      <c r="ET8" s="380">
        <f t="shared" si="31"/>
        <v>28.865257650808708</v>
      </c>
      <c r="EU8" s="379">
        <f t="shared" si="41"/>
        <v>1933.972262604183</v>
      </c>
      <c r="EV8" s="381"/>
      <c r="EW8" s="382"/>
      <c r="EX8" s="382"/>
      <c r="EY8" s="382"/>
      <c r="EZ8" s="382"/>
      <c r="FA8" s="382"/>
      <c r="FB8" s="382"/>
      <c r="FE8" s="582" t="s">
        <v>1590</v>
      </c>
      <c r="FF8" s="582"/>
      <c r="FG8" s="582"/>
      <c r="FH8" s="582"/>
      <c r="FI8" s="582"/>
      <c r="FJ8" s="582"/>
      <c r="FK8" s="582"/>
      <c r="FL8" s="582"/>
      <c r="FM8" s="582"/>
    </row>
    <row r="9" spans="1:169" ht="35" customHeight="1" x14ac:dyDescent="0.3">
      <c r="A9" s="330" t="s">
        <v>1763</v>
      </c>
      <c r="B9" s="318" t="s">
        <v>1650</v>
      </c>
      <c r="C9" s="318"/>
      <c r="D9" s="318"/>
      <c r="E9" s="318"/>
      <c r="F9" s="318"/>
      <c r="G9" s="318"/>
      <c r="H9" s="331"/>
      <c r="I9" s="331"/>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7"/>
      <c r="AN9" s="318"/>
      <c r="AO9" s="511"/>
      <c r="AP9" s="511"/>
      <c r="AQ9" s="511"/>
      <c r="AR9" s="511"/>
      <c r="AS9" s="511"/>
      <c r="AT9" s="511"/>
      <c r="AU9" s="318"/>
      <c r="AV9" s="318"/>
      <c r="AW9" s="318"/>
      <c r="AX9" s="318"/>
      <c r="AY9" s="318"/>
      <c r="AZ9" s="318"/>
      <c r="BA9" s="318"/>
      <c r="BB9" s="318"/>
      <c r="BC9" s="318"/>
      <c r="BD9" s="318"/>
      <c r="BE9" s="318"/>
      <c r="BF9" s="318"/>
      <c r="BG9" s="318"/>
      <c r="BH9" s="333"/>
      <c r="BI9" s="333"/>
      <c r="BJ9" s="333"/>
      <c r="BK9" s="333"/>
      <c r="BL9" s="333"/>
      <c r="BM9" s="333"/>
      <c r="BN9" s="333"/>
      <c r="BO9" s="333"/>
      <c r="BP9" s="333"/>
      <c r="BQ9" s="333"/>
      <c r="BR9" s="333"/>
      <c r="BS9" s="333"/>
      <c r="BT9" s="334"/>
      <c r="BU9" s="335" t="s">
        <v>1263</v>
      </c>
      <c r="BV9" s="255"/>
      <c r="BY9" s="376" t="s">
        <v>165</v>
      </c>
      <c r="BZ9" s="373">
        <v>250</v>
      </c>
      <c r="CA9" s="373">
        <v>350</v>
      </c>
      <c r="CB9" s="373">
        <v>500</v>
      </c>
      <c r="CC9" s="373">
        <v>0</v>
      </c>
      <c r="CD9" s="373">
        <v>40</v>
      </c>
      <c r="CE9" s="373">
        <v>60</v>
      </c>
      <c r="CF9" s="373">
        <v>60</v>
      </c>
      <c r="CG9" s="373">
        <v>40</v>
      </c>
      <c r="CH9" s="378"/>
      <c r="CI9" s="378"/>
      <c r="CJ9" s="378"/>
      <c r="CK9" s="378"/>
      <c r="CL9" s="378"/>
      <c r="CM9" s="378"/>
      <c r="CN9" s="378"/>
      <c r="CO9" s="378"/>
      <c r="CP9" s="378"/>
      <c r="CQ9" s="378"/>
      <c r="CR9" s="354"/>
      <c r="CS9" s="379"/>
      <c r="CT9" s="379"/>
      <c r="CU9" s="379"/>
      <c r="CV9" s="379"/>
      <c r="CW9" s="379"/>
      <c r="CX9" s="379"/>
      <c r="CY9" s="379"/>
      <c r="CZ9" s="379"/>
      <c r="DA9" s="379"/>
      <c r="DB9" s="379"/>
      <c r="DC9" s="379"/>
      <c r="DD9" s="354"/>
      <c r="DE9" s="378"/>
      <c r="DF9" s="378"/>
      <c r="DG9" s="378"/>
      <c r="DH9" s="378"/>
      <c r="DI9" s="378"/>
      <c r="DJ9" s="378"/>
      <c r="DK9" s="378"/>
      <c r="DL9" s="378"/>
      <c r="DM9" s="378"/>
      <c r="DN9" s="378"/>
      <c r="DO9" s="380"/>
      <c r="DP9" s="380"/>
      <c r="DQ9" s="380"/>
      <c r="DR9" s="380"/>
      <c r="DS9" s="380"/>
      <c r="DT9" s="380"/>
      <c r="DU9" s="380"/>
      <c r="DV9" s="380"/>
      <c r="DW9" s="380"/>
      <c r="DX9" s="380"/>
      <c r="DY9" s="380"/>
      <c r="DZ9" s="378"/>
      <c r="EA9" s="378"/>
      <c r="EB9" s="378"/>
      <c r="EC9" s="378"/>
      <c r="ED9" s="378"/>
      <c r="EE9" s="378"/>
      <c r="EF9" s="378"/>
      <c r="EG9" s="378"/>
      <c r="EH9" s="378"/>
      <c r="EI9" s="378"/>
      <c r="EJ9" s="354"/>
      <c r="EK9" s="380"/>
      <c r="EL9" s="380"/>
      <c r="EM9" s="380"/>
      <c r="EN9" s="380"/>
      <c r="EO9" s="380"/>
      <c r="EP9" s="380"/>
      <c r="EQ9" s="380"/>
      <c r="ER9" s="380"/>
      <c r="ES9" s="380">
        <f t="shared" si="31"/>
        <v>0</v>
      </c>
      <c r="ET9" s="380">
        <f t="shared" si="31"/>
        <v>0</v>
      </c>
      <c r="EU9" s="379">
        <f t="shared" si="41"/>
        <v>0</v>
      </c>
      <c r="EV9" s="382"/>
      <c r="EW9" s="382"/>
      <c r="EX9" s="382"/>
      <c r="EY9" s="382"/>
      <c r="EZ9" s="382"/>
      <c r="FA9" s="382"/>
      <c r="FB9" s="382"/>
      <c r="FE9" s="583" t="s">
        <v>1666</v>
      </c>
      <c r="FF9" s="583"/>
      <c r="FG9" s="583"/>
      <c r="FH9" s="583"/>
      <c r="FI9" s="583"/>
      <c r="FJ9" s="583"/>
      <c r="FK9" s="583"/>
      <c r="FL9" s="583"/>
      <c r="FM9" s="583"/>
    </row>
    <row r="10" spans="1:169" ht="35" customHeight="1" x14ac:dyDescent="0.3">
      <c r="A10" s="330" t="s">
        <v>1764</v>
      </c>
      <c r="B10" s="318" t="s">
        <v>1131</v>
      </c>
      <c r="C10" s="318" t="s">
        <v>71</v>
      </c>
      <c r="D10" s="318" t="s">
        <v>323</v>
      </c>
      <c r="E10" s="318" t="s">
        <v>8</v>
      </c>
      <c r="F10" s="318" t="s">
        <v>271</v>
      </c>
      <c r="G10" s="318" t="s">
        <v>1174</v>
      </c>
      <c r="H10" s="331" t="s">
        <v>1139</v>
      </c>
      <c r="I10" s="331" t="s">
        <v>975</v>
      </c>
      <c r="J10" s="318" t="s">
        <v>1045</v>
      </c>
      <c r="K10" s="318" t="s">
        <v>1047</v>
      </c>
      <c r="L10" s="318" t="s">
        <v>1053</v>
      </c>
      <c r="M10" s="318" t="s">
        <v>1060</v>
      </c>
      <c r="N10" s="318" t="s">
        <v>1069</v>
      </c>
      <c r="O10" s="318" t="s">
        <v>1072</v>
      </c>
      <c r="P10" s="318" t="s">
        <v>1077</v>
      </c>
      <c r="Q10" s="318" t="s">
        <v>1080</v>
      </c>
      <c r="R10" s="318" t="s">
        <v>1086</v>
      </c>
      <c r="S10" s="318" t="s">
        <v>1089</v>
      </c>
      <c r="T10" s="318" t="s">
        <v>102</v>
      </c>
      <c r="U10" s="318" t="s">
        <v>102</v>
      </c>
      <c r="V10" s="318" t="s">
        <v>102</v>
      </c>
      <c r="W10" s="318" t="s">
        <v>102</v>
      </c>
      <c r="X10" s="318" t="s">
        <v>102</v>
      </c>
      <c r="Y10" s="318" t="s">
        <v>102</v>
      </c>
      <c r="Z10" s="318" t="s">
        <v>102</v>
      </c>
      <c r="AA10" s="318" t="s">
        <v>102</v>
      </c>
      <c r="AB10" s="318" t="s">
        <v>102</v>
      </c>
      <c r="AC10" s="318" t="s">
        <v>102</v>
      </c>
      <c r="AD10" s="318" t="s">
        <v>1771</v>
      </c>
      <c r="AE10" s="318">
        <f>9*(18+28)+7*7</f>
        <v>463</v>
      </c>
      <c r="AF10" s="318">
        <f t="shared" si="42"/>
        <v>40</v>
      </c>
      <c r="AG10" s="318">
        <v>1960</v>
      </c>
      <c r="AH10" s="318" t="s">
        <v>800</v>
      </c>
      <c r="AI10" s="318">
        <f t="shared" si="43"/>
        <v>1960</v>
      </c>
      <c r="AJ10" s="318" t="str">
        <f t="shared" si="44"/>
        <v>Estimated</v>
      </c>
      <c r="AK10" s="318"/>
      <c r="AL10" s="318"/>
      <c r="AM10" s="317">
        <f t="shared" si="32"/>
        <v>69683.470933429198</v>
      </c>
      <c r="AN10" s="318" t="s">
        <v>800</v>
      </c>
      <c r="AO10" s="511">
        <f t="shared" si="33"/>
        <v>69683.470933429184</v>
      </c>
      <c r="AP10" s="511">
        <f t="shared" si="34"/>
        <v>0</v>
      </c>
      <c r="AQ10" s="511">
        <f t="shared" si="35"/>
        <v>0</v>
      </c>
      <c r="AR10" s="511">
        <f t="shared" si="36"/>
        <v>0</v>
      </c>
      <c r="AS10" s="511">
        <f>HLOOKUP($C$1,'Inflation Adjustments'!$BI$3:$BT$4,2)*CR10</f>
        <v>1057464.66853125</v>
      </c>
      <c r="AT10" s="511">
        <f>IF(BU10="In Service",'Maintenace Cost Assumptions'!$B$3*AS10,0)</f>
        <v>5287.3233426562501</v>
      </c>
      <c r="AU10" s="318">
        <v>2</v>
      </c>
      <c r="AV10" s="318">
        <v>2</v>
      </c>
      <c r="AW10" s="318">
        <v>3</v>
      </c>
      <c r="AX10" s="318">
        <v>2</v>
      </c>
      <c r="AY10" s="318">
        <v>2</v>
      </c>
      <c r="AZ10" s="318">
        <v>2</v>
      </c>
      <c r="BA10" s="318">
        <v>2</v>
      </c>
      <c r="BB10" s="318"/>
      <c r="BC10" s="318"/>
      <c r="BD10" s="318"/>
      <c r="BE10" s="318">
        <v>2</v>
      </c>
      <c r="BF10" s="318"/>
      <c r="BG10" s="332">
        <f>(AU10*'Condition rating weights'!H$8+AV10*'Condition rating weights'!I$8+AW10*'Condition rating weights'!J$8+AX10*'Condition rating weights'!K$8+AY10*'Condition rating weights'!L$8+AZ10*'Condition rating weights'!M$8+BA10*'Condition rating weights'!N$8+BB10*'Condition rating weights'!O$8+BC10*'Condition rating weights'!P$8+BD10*'Condition rating weights'!Q$8+BE10*'Condition rating weights'!R$8+BF10*'Condition rating weights'!S$8)/100</f>
        <v>0.41</v>
      </c>
      <c r="BH10" s="333">
        <v>1</v>
      </c>
      <c r="BI10" s="333">
        <v>111</v>
      </c>
      <c r="BJ10" s="333" t="s">
        <v>12</v>
      </c>
      <c r="BK10" s="333" t="s">
        <v>959</v>
      </c>
      <c r="BL10" s="333" t="s">
        <v>960</v>
      </c>
      <c r="BM10" s="333" t="s">
        <v>961</v>
      </c>
      <c r="BN10" s="333" t="s">
        <v>117</v>
      </c>
      <c r="BO10" s="333" t="s">
        <v>962</v>
      </c>
      <c r="BP10" s="333" t="s">
        <v>962</v>
      </c>
      <c r="BQ10" s="333" t="s">
        <v>963</v>
      </c>
      <c r="BR10" s="333" t="s">
        <v>964</v>
      </c>
      <c r="BS10" s="333" t="s">
        <v>964</v>
      </c>
      <c r="BT10" s="334" t="s">
        <v>965</v>
      </c>
      <c r="BU10" s="335" t="s">
        <v>1430</v>
      </c>
      <c r="BV10" s="255"/>
      <c r="BY10" s="376" t="str">
        <f>'GRC and TUL Assumptions'!A10</f>
        <v>Floor Covering</v>
      </c>
      <c r="BZ10" s="373">
        <f>'GRC and TUL Assumptions'!C10</f>
        <v>100</v>
      </c>
      <c r="CA10" s="373">
        <f>'GRC and TUL Assumptions'!D10</f>
        <v>150</v>
      </c>
      <c r="CB10" s="373">
        <f>'GRC and TUL Assumptions'!E10</f>
        <v>300</v>
      </c>
      <c r="CC10" s="373">
        <v>0</v>
      </c>
      <c r="CD10" s="373">
        <f>'GRC and TUL Assumptions'!F10</f>
        <v>20</v>
      </c>
      <c r="CE10" s="373">
        <f>'GRC and TUL Assumptions'!G10</f>
        <v>30</v>
      </c>
      <c r="CF10" s="373">
        <f>'GRC and TUL Assumptions'!H10</f>
        <v>40</v>
      </c>
      <c r="CG10" s="373">
        <f t="shared" si="37"/>
        <v>20</v>
      </c>
      <c r="CH10" s="378">
        <f t="shared" si="5"/>
        <v>69450</v>
      </c>
      <c r="CI10" s="378">
        <f t="shared" si="6"/>
        <v>231500</v>
      </c>
      <c r="CJ10" s="378">
        <f t="shared" si="7"/>
        <v>46300</v>
      </c>
      <c r="CK10" s="378">
        <f t="shared" si="8"/>
        <v>69450</v>
      </c>
      <c r="CL10" s="378">
        <f t="shared" si="9"/>
        <v>115750</v>
      </c>
      <c r="CM10" s="378">
        <f t="shared" si="10"/>
        <v>46300</v>
      </c>
      <c r="CN10" s="378">
        <f t="shared" si="11"/>
        <v>37040</v>
      </c>
      <c r="CO10" s="378">
        <f t="shared" si="12"/>
        <v>37040</v>
      </c>
      <c r="CP10" s="378">
        <f t="shared" si="13"/>
        <v>46300</v>
      </c>
      <c r="CQ10" s="378">
        <f t="shared" si="14"/>
        <v>9260</v>
      </c>
      <c r="CR10" s="354">
        <f t="shared" si="38"/>
        <v>708390</v>
      </c>
      <c r="CS10" s="379">
        <f>(HLOOKUP($AI10,'Inflation Adjustments'!$B$3:$BT$4,2,TRUE))*CH10</f>
        <v>6831.7128366107054</v>
      </c>
      <c r="CT10" s="379">
        <f>(HLOOKUP($AI10,'Inflation Adjustments'!$B$3:$BT$4,2,TRUE))*CI10</f>
        <v>22772.376122035683</v>
      </c>
      <c r="CU10" s="379">
        <f>(HLOOKUP($AI10,'Inflation Adjustments'!$B$3:$BT$4,2,TRUE))*CJ10</f>
        <v>4554.4752244071369</v>
      </c>
      <c r="CV10" s="379">
        <f>(HLOOKUP($AI10,'Inflation Adjustments'!$B$3:$BT$4,2,TRUE))*CK10</f>
        <v>6831.7128366107054</v>
      </c>
      <c r="CW10" s="379">
        <f>(HLOOKUP($AI10,'Inflation Adjustments'!$B$3:$BT$4,2,TRUE))*CL10</f>
        <v>11386.188061017841</v>
      </c>
      <c r="CX10" s="379">
        <f>(HLOOKUP($AI10,'Inflation Adjustments'!$B$3:$BT$4,2,TRUE))*CM10</f>
        <v>4554.4752244071369</v>
      </c>
      <c r="CY10" s="379">
        <f>(HLOOKUP($AI10,'Inflation Adjustments'!$B$3:$BT$4,2,TRUE))*CN10</f>
        <v>3643.5801795257094</v>
      </c>
      <c r="CZ10" s="379">
        <f>(HLOOKUP($AI10,'Inflation Adjustments'!$B$3:$BT$4,2,TRUE))*CO10</f>
        <v>3643.5801795257094</v>
      </c>
      <c r="DA10" s="379">
        <f>(HLOOKUP($AI10,'Inflation Adjustments'!$B$3:$BT$4,2,TRUE))*CP10</f>
        <v>4554.4752244071369</v>
      </c>
      <c r="DB10" s="379">
        <f>(HLOOKUP($AI10,'Inflation Adjustments'!$B$3:$BT$4,2,TRUE))*CQ10</f>
        <v>910.89504488142734</v>
      </c>
      <c r="DC10" s="379">
        <f>(HLOOKUP($AI10,'Inflation Adjustments'!$B$3:$BT$4,2,TRUE))*CR10</f>
        <v>69683.470933429198</v>
      </c>
      <c r="DD10" s="354">
        <f t="shared" si="15"/>
        <v>62</v>
      </c>
      <c r="DE10" s="378">
        <f t="shared" si="16"/>
        <v>40</v>
      </c>
      <c r="DF10" s="378">
        <f t="shared" si="17"/>
        <v>40</v>
      </c>
      <c r="DG10" s="378">
        <f t="shared" si="18"/>
        <v>10</v>
      </c>
      <c r="DH10" s="378">
        <f t="shared" si="19"/>
        <v>20</v>
      </c>
      <c r="DI10" s="378">
        <f t="shared" si="20"/>
        <v>40</v>
      </c>
      <c r="DJ10" s="378">
        <f t="shared" si="21"/>
        <v>20</v>
      </c>
      <c r="DK10" s="378">
        <f t="shared" si="22"/>
        <v>10</v>
      </c>
      <c r="DL10" s="378">
        <f t="shared" si="23"/>
        <v>10</v>
      </c>
      <c r="DM10" s="378">
        <f t="shared" si="24"/>
        <v>20</v>
      </c>
      <c r="DN10" s="378">
        <f t="shared" si="25"/>
        <v>20</v>
      </c>
      <c r="DO10" s="380">
        <f t="shared" si="26"/>
        <v>170.79282091526764</v>
      </c>
      <c r="DP10" s="380">
        <f t="shared" si="27"/>
        <v>569.30940305089212</v>
      </c>
      <c r="DQ10" s="380">
        <f t="shared" si="27"/>
        <v>455.44752244071367</v>
      </c>
      <c r="DR10" s="380">
        <f t="shared" si="27"/>
        <v>341.58564183053528</v>
      </c>
      <c r="DS10" s="380">
        <f t="shared" si="27"/>
        <v>284.65470152544606</v>
      </c>
      <c r="DT10" s="380">
        <f t="shared" si="27"/>
        <v>227.72376122035683</v>
      </c>
      <c r="DU10" s="380">
        <f t="shared" si="27"/>
        <v>364.35801795257095</v>
      </c>
      <c r="DV10" s="380">
        <f t="shared" si="27"/>
        <v>364.35801795257095</v>
      </c>
      <c r="DW10" s="380">
        <f t="shared" si="27"/>
        <v>227.72376122035683</v>
      </c>
      <c r="DX10" s="380">
        <f t="shared" si="27"/>
        <v>45.544752244071368</v>
      </c>
      <c r="DY10" s="380">
        <f t="shared" si="39"/>
        <v>3051.4984003527816</v>
      </c>
      <c r="DZ10" s="378">
        <f t="shared" si="28"/>
        <v>6831.7128366107054</v>
      </c>
      <c r="EA10" s="378">
        <f t="shared" si="29"/>
        <v>22772.376122035683</v>
      </c>
      <c r="EB10" s="378">
        <f t="shared" si="29"/>
        <v>4554.4752244071369</v>
      </c>
      <c r="EC10" s="378">
        <f t="shared" si="29"/>
        <v>6831.7128366107054</v>
      </c>
      <c r="ED10" s="378">
        <f t="shared" si="29"/>
        <v>11386.188061017841</v>
      </c>
      <c r="EE10" s="378">
        <f t="shared" si="29"/>
        <v>4554.4752244071369</v>
      </c>
      <c r="EF10" s="378">
        <f t="shared" si="29"/>
        <v>3643.5801795257094</v>
      </c>
      <c r="EG10" s="378">
        <f t="shared" si="29"/>
        <v>3643.5801795257094</v>
      </c>
      <c r="EH10" s="378">
        <f t="shared" si="29"/>
        <v>4554.4752244071369</v>
      </c>
      <c r="EI10" s="378">
        <f t="shared" si="29"/>
        <v>910.89504488142734</v>
      </c>
      <c r="EJ10" s="354">
        <f t="shared" si="40"/>
        <v>69683.470933429184</v>
      </c>
      <c r="EK10" s="380">
        <f t="shared" si="30"/>
        <v>0</v>
      </c>
      <c r="EL10" s="380">
        <f t="shared" si="31"/>
        <v>0</v>
      </c>
      <c r="EM10" s="380">
        <f t="shared" si="31"/>
        <v>0</v>
      </c>
      <c r="EN10" s="380">
        <f t="shared" si="31"/>
        <v>0</v>
      </c>
      <c r="EO10" s="380">
        <f t="shared" si="31"/>
        <v>0</v>
      </c>
      <c r="EP10" s="380">
        <f t="shared" si="31"/>
        <v>0</v>
      </c>
      <c r="EQ10" s="380">
        <f t="shared" si="31"/>
        <v>0</v>
      </c>
      <c r="ER10" s="380">
        <f t="shared" si="31"/>
        <v>0</v>
      </c>
      <c r="ES10" s="380">
        <f t="shared" si="31"/>
        <v>0</v>
      </c>
      <c r="ET10" s="380">
        <f t="shared" si="31"/>
        <v>0</v>
      </c>
      <c r="EU10" s="379">
        <f t="shared" si="41"/>
        <v>0</v>
      </c>
      <c r="EV10" s="382"/>
      <c r="FA10" s="382"/>
      <c r="FB10" s="382"/>
      <c r="FE10" s="637" t="s">
        <v>1667</v>
      </c>
      <c r="FF10" s="637"/>
      <c r="FG10" s="637"/>
      <c r="FH10" s="637"/>
      <c r="FI10" s="637"/>
      <c r="FJ10" s="637"/>
      <c r="FK10" s="637"/>
      <c r="FL10" s="637"/>
      <c r="FM10" s="637"/>
    </row>
    <row r="11" spans="1:169" ht="35" customHeight="1" x14ac:dyDescent="0.3">
      <c r="A11" s="330" t="s">
        <v>1765</v>
      </c>
      <c r="B11" s="318" t="s">
        <v>1144</v>
      </c>
      <c r="C11" s="318" t="s">
        <v>71</v>
      </c>
      <c r="D11" s="318" t="s">
        <v>82</v>
      </c>
      <c r="E11" s="318" t="s">
        <v>8</v>
      </c>
      <c r="F11" s="318" t="s">
        <v>283</v>
      </c>
      <c r="G11" s="318" t="s">
        <v>722</v>
      </c>
      <c r="H11" s="318" t="s">
        <v>1140</v>
      </c>
      <c r="I11" s="318" t="s">
        <v>1141</v>
      </c>
      <c r="J11" s="318" t="s">
        <v>1044</v>
      </c>
      <c r="K11" s="318" t="s">
        <v>1050</v>
      </c>
      <c r="L11" s="318" t="s">
        <v>1055</v>
      </c>
      <c r="M11" s="318" t="s">
        <v>1064</v>
      </c>
      <c r="N11" s="318" t="s">
        <v>1068</v>
      </c>
      <c r="O11" s="318" t="s">
        <v>1072</v>
      </c>
      <c r="P11" s="318" t="s">
        <v>1077</v>
      </c>
      <c r="Q11" s="318" t="s">
        <v>1080</v>
      </c>
      <c r="R11" s="318" t="s">
        <v>1086</v>
      </c>
      <c r="S11" s="318" t="s">
        <v>1089</v>
      </c>
      <c r="T11" s="318" t="s">
        <v>102</v>
      </c>
      <c r="U11" s="318" t="s">
        <v>102</v>
      </c>
      <c r="V11" s="318" t="s">
        <v>102</v>
      </c>
      <c r="W11" s="318" t="s">
        <v>102</v>
      </c>
      <c r="X11" s="318" t="s">
        <v>102</v>
      </c>
      <c r="Y11" s="318" t="s">
        <v>102</v>
      </c>
      <c r="Z11" s="318" t="s">
        <v>102</v>
      </c>
      <c r="AA11" s="318" t="s">
        <v>102</v>
      </c>
      <c r="AB11" s="318" t="s">
        <v>102</v>
      </c>
      <c r="AC11" s="318" t="s">
        <v>102</v>
      </c>
      <c r="AD11" s="318" t="s">
        <v>1771</v>
      </c>
      <c r="AE11" s="318">
        <f>12*2.5</f>
        <v>30</v>
      </c>
      <c r="AF11" s="318">
        <f t="shared" si="42"/>
        <v>40</v>
      </c>
      <c r="AG11" s="318">
        <v>2016</v>
      </c>
      <c r="AH11" s="318" t="s">
        <v>800</v>
      </c>
      <c r="AI11" s="318">
        <f t="shared" si="43"/>
        <v>2016</v>
      </c>
      <c r="AJ11" s="318" t="str">
        <f t="shared" si="44"/>
        <v>Estimated</v>
      </c>
      <c r="AK11" s="318"/>
      <c r="AL11" s="318"/>
      <c r="AM11" s="317">
        <f t="shared" si="32"/>
        <v>42302.532764116208</v>
      </c>
      <c r="AN11" s="318" t="s">
        <v>800</v>
      </c>
      <c r="AO11" s="511">
        <f t="shared" si="33"/>
        <v>11114.783118414845</v>
      </c>
      <c r="AP11" s="511">
        <f t="shared" si="34"/>
        <v>31187.749645701362</v>
      </c>
      <c r="AQ11" s="511">
        <f t="shared" si="35"/>
        <v>1852.4638530691409</v>
      </c>
      <c r="AR11" s="511">
        <f t="shared" si="36"/>
        <v>29335.285792632221</v>
      </c>
      <c r="AS11" s="511">
        <f>HLOOKUP($C$1,'Inflation Adjustments'!$BI$3:$BT$4,2)*CR11</f>
        <v>68518.229062499988</v>
      </c>
      <c r="AT11" s="511">
        <f>IF(BU11="In Service",'Maintenace Cost Assumptions'!$B$3*AS11,0)</f>
        <v>342.59114531249992</v>
      </c>
      <c r="AU11" s="318">
        <v>3</v>
      </c>
      <c r="AV11" s="318">
        <v>3</v>
      </c>
      <c r="AW11" s="318">
        <v>3</v>
      </c>
      <c r="AX11" s="318">
        <v>3</v>
      </c>
      <c r="AY11" s="318">
        <v>3</v>
      </c>
      <c r="AZ11" s="318">
        <v>3</v>
      </c>
      <c r="BA11" s="318">
        <v>3</v>
      </c>
      <c r="BB11" s="318"/>
      <c r="BC11" s="318"/>
      <c r="BD11" s="318"/>
      <c r="BE11" s="318">
        <v>3</v>
      </c>
      <c r="BF11" s="318"/>
      <c r="BG11" s="332">
        <f>(AU11*'Condition rating weights'!H$8+AV11*'Condition rating weights'!I$8+AW11*'Condition rating weights'!J$8+AX11*'Condition rating weights'!K$8+AY11*'Condition rating weights'!L$8+AZ11*'Condition rating weights'!M$8+BA11*'Condition rating weights'!N$8+BB11*'Condition rating weights'!O$8+BC11*'Condition rating weights'!P$8+BD11*'Condition rating weights'!Q$8+BE11*'Condition rating weights'!R$8+BF11*'Condition rating weights'!S$8)/100</f>
        <v>0.6</v>
      </c>
      <c r="BH11" s="333">
        <v>1</v>
      </c>
      <c r="BI11" s="333">
        <v>411</v>
      </c>
      <c r="BJ11" s="333" t="s">
        <v>12</v>
      </c>
      <c r="BK11" s="333" t="s">
        <v>959</v>
      </c>
      <c r="BL11" s="333" t="s">
        <v>960</v>
      </c>
      <c r="BM11" s="333" t="s">
        <v>1030</v>
      </c>
      <c r="BN11" s="333" t="s">
        <v>117</v>
      </c>
      <c r="BO11" s="333" t="s">
        <v>962</v>
      </c>
      <c r="BP11" s="333" t="s">
        <v>962</v>
      </c>
      <c r="BQ11" s="333" t="s">
        <v>963</v>
      </c>
      <c r="BR11" s="333" t="s">
        <v>964</v>
      </c>
      <c r="BS11" s="333" t="s">
        <v>964</v>
      </c>
      <c r="BT11" s="334" t="s">
        <v>965</v>
      </c>
      <c r="BU11" s="335" t="s">
        <v>1430</v>
      </c>
      <c r="BV11" s="255"/>
      <c r="BY11" s="376" t="str">
        <f>'GRC and TUL Assumptions'!A11</f>
        <v>Service Mechanical</v>
      </c>
      <c r="BZ11" s="373">
        <f>'GRC and TUL Assumptions'!C11</f>
        <v>80</v>
      </c>
      <c r="CA11" s="373">
        <f>'GRC and TUL Assumptions'!D11</f>
        <v>100</v>
      </c>
      <c r="CB11" s="373">
        <f>'GRC and TUL Assumptions'!E11</f>
        <v>150</v>
      </c>
      <c r="CC11" s="373">
        <v>0</v>
      </c>
      <c r="CD11" s="373">
        <f>'GRC and TUL Assumptions'!F11</f>
        <v>10</v>
      </c>
      <c r="CE11" s="373">
        <f>'GRC and TUL Assumptions'!G11</f>
        <v>20</v>
      </c>
      <c r="CF11" s="373">
        <f>'GRC and TUL Assumptions'!H11</f>
        <v>30</v>
      </c>
      <c r="CG11" s="373">
        <f t="shared" si="37"/>
        <v>10</v>
      </c>
      <c r="CH11" s="378">
        <f t="shared" si="5"/>
        <v>4500</v>
      </c>
      <c r="CI11" s="378">
        <f t="shared" si="6"/>
        <v>15000</v>
      </c>
      <c r="CJ11" s="378">
        <f t="shared" si="7"/>
        <v>3000</v>
      </c>
      <c r="CK11" s="378">
        <f t="shared" si="8"/>
        <v>4500</v>
      </c>
      <c r="CL11" s="378">
        <f t="shared" si="9"/>
        <v>7500</v>
      </c>
      <c r="CM11" s="378">
        <f t="shared" si="10"/>
        <v>3000</v>
      </c>
      <c r="CN11" s="378">
        <f t="shared" si="11"/>
        <v>2400</v>
      </c>
      <c r="CO11" s="378">
        <f t="shared" si="12"/>
        <v>2400</v>
      </c>
      <c r="CP11" s="378">
        <f t="shared" si="13"/>
        <v>3000</v>
      </c>
      <c r="CQ11" s="378">
        <f t="shared" si="14"/>
        <v>600</v>
      </c>
      <c r="CR11" s="354">
        <f t="shared" si="38"/>
        <v>45900</v>
      </c>
      <c r="CS11" s="379">
        <f>(HLOOKUP($AI11,'Inflation Adjustments'!$B$3:$BT$4,2,TRUE))*CH11</f>
        <v>4147.3071337368829</v>
      </c>
      <c r="CT11" s="379">
        <f>(HLOOKUP($AI11,'Inflation Adjustments'!$B$3:$BT$4,2,TRUE))*CI11</f>
        <v>13824.357112456275</v>
      </c>
      <c r="CU11" s="379">
        <f>(HLOOKUP($AI11,'Inflation Adjustments'!$B$3:$BT$4,2,TRUE))*CJ11</f>
        <v>2764.8714224912551</v>
      </c>
      <c r="CV11" s="379">
        <f>(HLOOKUP($AI11,'Inflation Adjustments'!$B$3:$BT$4,2,TRUE))*CK11</f>
        <v>4147.3071337368829</v>
      </c>
      <c r="CW11" s="379">
        <f>(HLOOKUP($AI11,'Inflation Adjustments'!$B$3:$BT$4,2,TRUE))*CL11</f>
        <v>6912.1785562281375</v>
      </c>
      <c r="CX11" s="379">
        <f>(HLOOKUP($AI11,'Inflation Adjustments'!$B$3:$BT$4,2,TRUE))*CM11</f>
        <v>2764.8714224912551</v>
      </c>
      <c r="CY11" s="379">
        <f>(HLOOKUP($AI11,'Inflation Adjustments'!$B$3:$BT$4,2,TRUE))*CN11</f>
        <v>2211.897137993004</v>
      </c>
      <c r="CZ11" s="379">
        <f>(HLOOKUP($AI11,'Inflation Adjustments'!$B$3:$BT$4,2,TRUE))*CO11</f>
        <v>2211.897137993004</v>
      </c>
      <c r="DA11" s="379">
        <f>(HLOOKUP($AI11,'Inflation Adjustments'!$B$3:$BT$4,2,TRUE))*CP11</f>
        <v>2764.8714224912551</v>
      </c>
      <c r="DB11" s="379">
        <f>(HLOOKUP($AI11,'Inflation Adjustments'!$B$3:$BT$4,2,TRUE))*CQ11</f>
        <v>552.974284498251</v>
      </c>
      <c r="DC11" s="379">
        <f>(HLOOKUP($AI11,'Inflation Adjustments'!$B$3:$BT$4,2,TRUE))*CR11</f>
        <v>42302.532764116208</v>
      </c>
      <c r="DD11" s="354">
        <f t="shared" si="15"/>
        <v>6</v>
      </c>
      <c r="DE11" s="378">
        <f t="shared" si="16"/>
        <v>40</v>
      </c>
      <c r="DF11" s="378">
        <f t="shared" si="17"/>
        <v>40</v>
      </c>
      <c r="DG11" s="378">
        <f t="shared" si="18"/>
        <v>10</v>
      </c>
      <c r="DH11" s="378">
        <f t="shared" si="19"/>
        <v>20</v>
      </c>
      <c r="DI11" s="378">
        <f t="shared" si="20"/>
        <v>40</v>
      </c>
      <c r="DJ11" s="378">
        <f t="shared" si="21"/>
        <v>20</v>
      </c>
      <c r="DK11" s="378">
        <f t="shared" si="22"/>
        <v>10</v>
      </c>
      <c r="DL11" s="378">
        <f t="shared" si="23"/>
        <v>10</v>
      </c>
      <c r="DM11" s="378">
        <f t="shared" si="24"/>
        <v>20</v>
      </c>
      <c r="DN11" s="378">
        <f t="shared" si="25"/>
        <v>20</v>
      </c>
      <c r="DO11" s="380">
        <f t="shared" si="26"/>
        <v>103.68267834342207</v>
      </c>
      <c r="DP11" s="380">
        <f t="shared" si="27"/>
        <v>345.60892781140689</v>
      </c>
      <c r="DQ11" s="380">
        <f t="shared" si="27"/>
        <v>276.4871422491255</v>
      </c>
      <c r="DR11" s="380">
        <f t="shared" si="27"/>
        <v>207.36535668684414</v>
      </c>
      <c r="DS11" s="380">
        <f t="shared" si="27"/>
        <v>172.80446390570344</v>
      </c>
      <c r="DT11" s="380">
        <f t="shared" si="27"/>
        <v>138.24357112456275</v>
      </c>
      <c r="DU11" s="380">
        <f t="shared" si="27"/>
        <v>221.18971379930039</v>
      </c>
      <c r="DV11" s="380">
        <f t="shared" si="27"/>
        <v>221.18971379930039</v>
      </c>
      <c r="DW11" s="380">
        <f t="shared" si="27"/>
        <v>138.24357112456275</v>
      </c>
      <c r="DX11" s="380">
        <f t="shared" si="27"/>
        <v>27.648714224912549</v>
      </c>
      <c r="DY11" s="380">
        <f t="shared" si="39"/>
        <v>1852.4638530691409</v>
      </c>
      <c r="DZ11" s="378">
        <f t="shared" si="28"/>
        <v>622.09607006053238</v>
      </c>
      <c r="EA11" s="378">
        <f t="shared" si="29"/>
        <v>2073.6535668684414</v>
      </c>
      <c r="EB11" s="378">
        <f t="shared" si="29"/>
        <v>1658.9228534947529</v>
      </c>
      <c r="EC11" s="378">
        <f t="shared" si="29"/>
        <v>1244.1921401210648</v>
      </c>
      <c r="ED11" s="378">
        <f t="shared" si="29"/>
        <v>1036.8267834342207</v>
      </c>
      <c r="EE11" s="378">
        <f t="shared" si="29"/>
        <v>829.46142674737644</v>
      </c>
      <c r="EF11" s="378">
        <f t="shared" si="29"/>
        <v>1327.1382827958023</v>
      </c>
      <c r="EG11" s="378">
        <f t="shared" si="29"/>
        <v>1327.1382827958023</v>
      </c>
      <c r="EH11" s="378">
        <f t="shared" si="29"/>
        <v>829.46142674737644</v>
      </c>
      <c r="EI11" s="378">
        <f t="shared" si="29"/>
        <v>165.89228534947529</v>
      </c>
      <c r="EJ11" s="354">
        <f t="shared" si="40"/>
        <v>11114.783118414845</v>
      </c>
      <c r="EK11" s="380">
        <f t="shared" si="30"/>
        <v>103.68267834342207</v>
      </c>
      <c r="EL11" s="380">
        <f t="shared" si="31"/>
        <v>345.60892781140689</v>
      </c>
      <c r="EM11" s="380">
        <f t="shared" si="31"/>
        <v>276.4871422491255</v>
      </c>
      <c r="EN11" s="380">
        <f t="shared" si="31"/>
        <v>207.36535668684414</v>
      </c>
      <c r="EO11" s="380">
        <f t="shared" si="31"/>
        <v>172.80446390570344</v>
      </c>
      <c r="EP11" s="380">
        <f t="shared" si="31"/>
        <v>138.24357112456275</v>
      </c>
      <c r="EQ11" s="380">
        <f t="shared" si="31"/>
        <v>221.18971379930039</v>
      </c>
      <c r="ER11" s="380">
        <f t="shared" si="31"/>
        <v>221.18971379930039</v>
      </c>
      <c r="ES11" s="380">
        <f t="shared" si="31"/>
        <v>138.24357112456275</v>
      </c>
      <c r="ET11" s="380">
        <f t="shared" si="31"/>
        <v>27.648714224912549</v>
      </c>
      <c r="EU11" s="379">
        <f t="shared" si="41"/>
        <v>1852.4638530691409</v>
      </c>
      <c r="EV11" s="382"/>
      <c r="EW11" s="382"/>
      <c r="EX11" s="382"/>
      <c r="EY11" s="382"/>
      <c r="EZ11" s="382"/>
      <c r="FA11" s="382"/>
      <c r="FB11" s="382"/>
    </row>
    <row r="12" spans="1:169" ht="35" customHeight="1" x14ac:dyDescent="0.3">
      <c r="A12" s="330" t="s">
        <v>1766</v>
      </c>
      <c r="B12" s="318" t="s">
        <v>1144</v>
      </c>
      <c r="C12" s="318" t="s">
        <v>71</v>
      </c>
      <c r="D12" s="318" t="s">
        <v>82</v>
      </c>
      <c r="E12" s="318" t="s">
        <v>8</v>
      </c>
      <c r="F12" s="318" t="s">
        <v>283</v>
      </c>
      <c r="G12" s="318" t="s">
        <v>724</v>
      </c>
      <c r="H12" s="318" t="s">
        <v>1142</v>
      </c>
      <c r="I12" s="318" t="s">
        <v>1143</v>
      </c>
      <c r="J12" s="318" t="s">
        <v>1044</v>
      </c>
      <c r="K12" s="318" t="s">
        <v>1050</v>
      </c>
      <c r="L12" s="318" t="s">
        <v>1055</v>
      </c>
      <c r="M12" s="318" t="s">
        <v>1064</v>
      </c>
      <c r="N12" s="318" t="s">
        <v>1068</v>
      </c>
      <c r="O12" s="318" t="s">
        <v>1072</v>
      </c>
      <c r="P12" s="318" t="s">
        <v>1077</v>
      </c>
      <c r="Q12" s="318" t="s">
        <v>1080</v>
      </c>
      <c r="R12" s="318" t="s">
        <v>1086</v>
      </c>
      <c r="S12" s="318" t="s">
        <v>1089</v>
      </c>
      <c r="T12" s="318" t="s">
        <v>102</v>
      </c>
      <c r="U12" s="318" t="s">
        <v>102</v>
      </c>
      <c r="V12" s="318" t="s">
        <v>102</v>
      </c>
      <c r="W12" s="318" t="s">
        <v>102</v>
      </c>
      <c r="X12" s="318" t="s">
        <v>102</v>
      </c>
      <c r="Y12" s="318" t="s">
        <v>102</v>
      </c>
      <c r="Z12" s="318" t="s">
        <v>102</v>
      </c>
      <c r="AA12" s="318" t="s">
        <v>102</v>
      </c>
      <c r="AB12" s="318" t="s">
        <v>102</v>
      </c>
      <c r="AC12" s="318" t="s">
        <v>102</v>
      </c>
      <c r="AD12" s="318" t="s">
        <v>1771</v>
      </c>
      <c r="AE12" s="318">
        <v>80</v>
      </c>
      <c r="AF12" s="318">
        <f t="shared" si="42"/>
        <v>40</v>
      </c>
      <c r="AG12" s="318">
        <v>2017</v>
      </c>
      <c r="AH12" s="318" t="s">
        <v>982</v>
      </c>
      <c r="AI12" s="318">
        <f t="shared" si="43"/>
        <v>2017</v>
      </c>
      <c r="AJ12" s="318" t="str">
        <f t="shared" si="44"/>
        <v>Actual</v>
      </c>
      <c r="AK12" s="318"/>
      <c r="AL12" s="318"/>
      <c r="AM12" s="317">
        <f t="shared" si="32"/>
        <v>117770.25121529952</v>
      </c>
      <c r="AN12" s="318" t="s">
        <v>800</v>
      </c>
      <c r="AO12" s="511">
        <f t="shared" si="33"/>
        <v>25786.296834722449</v>
      </c>
      <c r="AP12" s="511">
        <f t="shared" si="34"/>
        <v>91983.954380577066</v>
      </c>
      <c r="AQ12" s="511">
        <f t="shared" si="35"/>
        <v>5157.2593669444886</v>
      </c>
      <c r="AR12" s="511">
        <f t="shared" si="36"/>
        <v>86826.695013632576</v>
      </c>
      <c r="AS12" s="511">
        <f>HLOOKUP($C$1,'Inflation Adjustments'!$BI$3:$BT$4,2)*CR12</f>
        <v>182715.2775</v>
      </c>
      <c r="AT12" s="511">
        <f>IF(BU12="In Service",'Maintenace Cost Assumptions'!$B$3*AS12,0)</f>
        <v>913.57638750000001</v>
      </c>
      <c r="AU12" s="318">
        <v>3</v>
      </c>
      <c r="AV12" s="318">
        <v>3</v>
      </c>
      <c r="AW12" s="318">
        <v>3</v>
      </c>
      <c r="AX12" s="318">
        <v>3</v>
      </c>
      <c r="AY12" s="318">
        <v>3</v>
      </c>
      <c r="AZ12" s="318">
        <v>3</v>
      </c>
      <c r="BA12" s="318">
        <v>3</v>
      </c>
      <c r="BB12" s="318"/>
      <c r="BC12" s="318"/>
      <c r="BD12" s="318"/>
      <c r="BE12" s="318">
        <v>3</v>
      </c>
      <c r="BF12" s="318"/>
      <c r="BG12" s="332">
        <f>(AU12*'Condition rating weights'!H$8+AV12*'Condition rating weights'!I$8+AW12*'Condition rating weights'!J$8+AX12*'Condition rating weights'!K$8+AY12*'Condition rating weights'!L$8+AZ12*'Condition rating weights'!M$8+BA12*'Condition rating weights'!N$8+BB12*'Condition rating weights'!O$8+BC12*'Condition rating weights'!P$8+BD12*'Condition rating weights'!Q$8+BE12*'Condition rating weights'!R$8+BF12*'Condition rating weights'!S$8)/100</f>
        <v>0.6</v>
      </c>
      <c r="BH12" s="333">
        <v>1</v>
      </c>
      <c r="BI12" s="333">
        <v>411</v>
      </c>
      <c r="BJ12" s="333" t="s">
        <v>12</v>
      </c>
      <c r="BK12" s="333" t="s">
        <v>959</v>
      </c>
      <c r="BL12" s="333" t="s">
        <v>960</v>
      </c>
      <c r="BM12" s="333" t="s">
        <v>1030</v>
      </c>
      <c r="BN12" s="333" t="s">
        <v>117</v>
      </c>
      <c r="BO12" s="333" t="s">
        <v>1648</v>
      </c>
      <c r="BP12" s="333" t="s">
        <v>962</v>
      </c>
      <c r="BQ12" s="333" t="s">
        <v>978</v>
      </c>
      <c r="BR12" s="333" t="s">
        <v>964</v>
      </c>
      <c r="BS12" s="333" t="s">
        <v>964</v>
      </c>
      <c r="BT12" s="334" t="s">
        <v>965</v>
      </c>
      <c r="BU12" s="335" t="s">
        <v>1430</v>
      </c>
      <c r="BV12" s="255"/>
      <c r="BY12" s="376" t="str">
        <f>'GRC and TUL Assumptions'!A12</f>
        <v>Services Electrical</v>
      </c>
      <c r="BZ12" s="373">
        <f>'GRC and TUL Assumptions'!C12</f>
        <v>80</v>
      </c>
      <c r="CA12" s="373">
        <f>'GRC and TUL Assumptions'!D12</f>
        <v>100</v>
      </c>
      <c r="CB12" s="373">
        <f>'GRC and TUL Assumptions'!E12</f>
        <v>150</v>
      </c>
      <c r="CC12" s="373">
        <v>0</v>
      </c>
      <c r="CD12" s="373">
        <f>'GRC and TUL Assumptions'!F12</f>
        <v>20</v>
      </c>
      <c r="CE12" s="373">
        <f>'GRC and TUL Assumptions'!G12</f>
        <v>30</v>
      </c>
      <c r="CF12" s="373">
        <f>'GRC and TUL Assumptions'!H12</f>
        <v>40</v>
      </c>
      <c r="CG12" s="373">
        <f t="shared" si="37"/>
        <v>20</v>
      </c>
      <c r="CH12" s="378">
        <f t="shared" si="5"/>
        <v>12000</v>
      </c>
      <c r="CI12" s="378">
        <f t="shared" si="6"/>
        <v>40000</v>
      </c>
      <c r="CJ12" s="378">
        <f t="shared" si="7"/>
        <v>8000</v>
      </c>
      <c r="CK12" s="378">
        <f t="shared" si="8"/>
        <v>12000</v>
      </c>
      <c r="CL12" s="378">
        <f t="shared" si="9"/>
        <v>20000</v>
      </c>
      <c r="CM12" s="378">
        <f t="shared" si="10"/>
        <v>8000</v>
      </c>
      <c r="CN12" s="378">
        <f t="shared" si="11"/>
        <v>6400</v>
      </c>
      <c r="CO12" s="378">
        <f t="shared" si="12"/>
        <v>6400</v>
      </c>
      <c r="CP12" s="378">
        <f t="shared" si="13"/>
        <v>8000</v>
      </c>
      <c r="CQ12" s="378">
        <f t="shared" si="14"/>
        <v>1600</v>
      </c>
      <c r="CR12" s="354">
        <f t="shared" si="38"/>
        <v>122400</v>
      </c>
      <c r="CS12" s="379">
        <f>(HLOOKUP($AI12,'Inflation Adjustments'!$B$3:$BT$4,2,TRUE))*CH12</f>
        <v>11546.103060323483</v>
      </c>
      <c r="CT12" s="379">
        <f>(HLOOKUP($AI12,'Inflation Adjustments'!$B$3:$BT$4,2,TRUE))*CI12</f>
        <v>38487.010201078272</v>
      </c>
      <c r="CU12" s="379">
        <f>(HLOOKUP($AI12,'Inflation Adjustments'!$B$3:$BT$4,2,TRUE))*CJ12</f>
        <v>7697.4020402156548</v>
      </c>
      <c r="CV12" s="379">
        <f>(HLOOKUP($AI12,'Inflation Adjustments'!$B$3:$BT$4,2,TRUE))*CK12</f>
        <v>11546.103060323483</v>
      </c>
      <c r="CW12" s="379">
        <f>(HLOOKUP($AI12,'Inflation Adjustments'!$B$3:$BT$4,2,TRUE))*CL12</f>
        <v>19243.505100539136</v>
      </c>
      <c r="CX12" s="379">
        <f>(HLOOKUP($AI12,'Inflation Adjustments'!$B$3:$BT$4,2,TRUE))*CM12</f>
        <v>7697.4020402156548</v>
      </c>
      <c r="CY12" s="379">
        <f>(HLOOKUP($AI12,'Inflation Adjustments'!$B$3:$BT$4,2,TRUE))*CN12</f>
        <v>6157.9216321725244</v>
      </c>
      <c r="CZ12" s="379">
        <f>(HLOOKUP($AI12,'Inflation Adjustments'!$B$3:$BT$4,2,TRUE))*CO12</f>
        <v>6157.9216321725244</v>
      </c>
      <c r="DA12" s="379">
        <f>(HLOOKUP($AI12,'Inflation Adjustments'!$B$3:$BT$4,2,TRUE))*CP12</f>
        <v>7697.4020402156548</v>
      </c>
      <c r="DB12" s="379">
        <f>(HLOOKUP($AI12,'Inflation Adjustments'!$B$3:$BT$4,2,TRUE))*CQ12</f>
        <v>1539.4804080431311</v>
      </c>
      <c r="DC12" s="379">
        <f>(HLOOKUP($AI12,'Inflation Adjustments'!$B$3:$BT$4,2,TRUE))*CR12</f>
        <v>117770.25121529952</v>
      </c>
      <c r="DD12" s="354">
        <f t="shared" si="15"/>
        <v>5</v>
      </c>
      <c r="DE12" s="378">
        <f t="shared" si="16"/>
        <v>40</v>
      </c>
      <c r="DF12" s="378">
        <f t="shared" si="17"/>
        <v>40</v>
      </c>
      <c r="DG12" s="378">
        <f t="shared" si="18"/>
        <v>10</v>
      </c>
      <c r="DH12" s="378">
        <f t="shared" si="19"/>
        <v>20</v>
      </c>
      <c r="DI12" s="378">
        <f t="shared" si="20"/>
        <v>40</v>
      </c>
      <c r="DJ12" s="378">
        <f t="shared" si="21"/>
        <v>20</v>
      </c>
      <c r="DK12" s="378">
        <f t="shared" si="22"/>
        <v>10</v>
      </c>
      <c r="DL12" s="378">
        <f t="shared" si="23"/>
        <v>10</v>
      </c>
      <c r="DM12" s="378">
        <f t="shared" si="24"/>
        <v>20</v>
      </c>
      <c r="DN12" s="378">
        <f t="shared" si="25"/>
        <v>20</v>
      </c>
      <c r="DO12" s="380">
        <f t="shared" si="26"/>
        <v>288.65257650808707</v>
      </c>
      <c r="DP12" s="380">
        <f t="shared" si="27"/>
        <v>962.17525502695685</v>
      </c>
      <c r="DQ12" s="380">
        <f t="shared" si="27"/>
        <v>769.74020402156543</v>
      </c>
      <c r="DR12" s="380">
        <f t="shared" si="27"/>
        <v>577.30515301617413</v>
      </c>
      <c r="DS12" s="380">
        <f t="shared" si="27"/>
        <v>481.08762751347842</v>
      </c>
      <c r="DT12" s="380">
        <f t="shared" si="27"/>
        <v>384.87010201078272</v>
      </c>
      <c r="DU12" s="380">
        <f t="shared" si="27"/>
        <v>615.79216321725244</v>
      </c>
      <c r="DV12" s="380">
        <f t="shared" si="27"/>
        <v>615.79216321725244</v>
      </c>
      <c r="DW12" s="380">
        <f t="shared" si="27"/>
        <v>384.87010201078272</v>
      </c>
      <c r="DX12" s="380">
        <f t="shared" si="27"/>
        <v>76.974020402156555</v>
      </c>
      <c r="DY12" s="380">
        <f t="shared" si="39"/>
        <v>5157.2593669444886</v>
      </c>
      <c r="DZ12" s="378">
        <f t="shared" si="28"/>
        <v>1443.2628825404354</v>
      </c>
      <c r="EA12" s="378">
        <f t="shared" si="29"/>
        <v>4810.876275134784</v>
      </c>
      <c r="EB12" s="378">
        <f t="shared" si="29"/>
        <v>3848.7010201078274</v>
      </c>
      <c r="EC12" s="378">
        <f t="shared" si="29"/>
        <v>2886.5257650808708</v>
      </c>
      <c r="ED12" s="378">
        <f t="shared" si="29"/>
        <v>2405.438137567392</v>
      </c>
      <c r="EE12" s="378">
        <f t="shared" si="29"/>
        <v>1924.3505100539137</v>
      </c>
      <c r="EF12" s="378">
        <f t="shared" si="29"/>
        <v>3078.9608160862622</v>
      </c>
      <c r="EG12" s="378">
        <f t="shared" si="29"/>
        <v>3078.9608160862622</v>
      </c>
      <c r="EH12" s="378">
        <f t="shared" si="29"/>
        <v>1924.3505100539137</v>
      </c>
      <c r="EI12" s="378">
        <f t="shared" si="29"/>
        <v>384.87010201078277</v>
      </c>
      <c r="EJ12" s="354">
        <f t="shared" si="40"/>
        <v>25786.296834722449</v>
      </c>
      <c r="EK12" s="380">
        <f t="shared" si="30"/>
        <v>288.65257650808707</v>
      </c>
      <c r="EL12" s="380">
        <f t="shared" si="31"/>
        <v>962.17525502695685</v>
      </c>
      <c r="EM12" s="380">
        <f t="shared" si="31"/>
        <v>769.74020402156543</v>
      </c>
      <c r="EN12" s="380">
        <f t="shared" si="31"/>
        <v>577.30515301617413</v>
      </c>
      <c r="EO12" s="380">
        <f t="shared" si="31"/>
        <v>481.08762751347842</v>
      </c>
      <c r="EP12" s="380">
        <f t="shared" si="31"/>
        <v>384.87010201078272</v>
      </c>
      <c r="EQ12" s="380">
        <f t="shared" si="31"/>
        <v>615.79216321725244</v>
      </c>
      <c r="ER12" s="380">
        <f t="shared" si="31"/>
        <v>615.79216321725244</v>
      </c>
      <c r="ES12" s="380">
        <f t="shared" si="31"/>
        <v>384.87010201078272</v>
      </c>
      <c r="ET12" s="380">
        <f t="shared" si="31"/>
        <v>76.974020402156555</v>
      </c>
      <c r="EU12" s="379">
        <f t="shared" si="41"/>
        <v>5157.2593669444886</v>
      </c>
      <c r="EV12" s="382"/>
      <c r="EW12" s="382"/>
      <c r="EX12" s="382"/>
      <c r="EY12" s="382"/>
      <c r="EZ12" s="382"/>
      <c r="FA12" s="382"/>
      <c r="FB12" s="382"/>
    </row>
    <row r="13" spans="1:169" ht="64" customHeight="1" x14ac:dyDescent="0.3">
      <c r="A13" s="330" t="s">
        <v>1767</v>
      </c>
      <c r="B13" s="318" t="s">
        <v>1651</v>
      </c>
      <c r="C13" s="318"/>
      <c r="D13" s="318"/>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7"/>
      <c r="AN13" s="318"/>
      <c r="AO13" s="511" t="e">
        <f t="shared" ref="AO13:AO17" si="45">EJ13+FA13</f>
        <v>#N/A</v>
      </c>
      <c r="AP13" s="511" t="e">
        <f t="shared" ref="AP13:AP17" si="46">AM13-AO13</f>
        <v>#N/A</v>
      </c>
      <c r="AQ13" s="511" t="e">
        <f t="shared" ref="AQ13:AQ17" si="47">EU13+FB13</f>
        <v>#N/A</v>
      </c>
      <c r="AR13" s="511" t="e">
        <f t="shared" ref="AR13:AR17" si="48">AP13-AQ13</f>
        <v>#N/A</v>
      </c>
      <c r="AS13" s="511" t="e">
        <f>HLOOKUP($C$1,'Inflation Adjustments'!$BI$3:$BT$4,2)*CR13</f>
        <v>#N/A</v>
      </c>
      <c r="AT13" s="511">
        <f>IF(BU13="In Service",'Maintenace Cost Assumptions'!$B$3*AS13,0)</f>
        <v>0</v>
      </c>
      <c r="AU13" s="318"/>
      <c r="AV13" s="318"/>
      <c r="AW13" s="318"/>
      <c r="AX13" s="318"/>
      <c r="AY13" s="318"/>
      <c r="AZ13" s="318"/>
      <c r="BA13" s="318"/>
      <c r="BB13" s="318"/>
      <c r="BC13" s="318"/>
      <c r="BD13" s="318"/>
      <c r="BE13" s="318"/>
      <c r="BF13" s="318"/>
      <c r="BG13" s="332">
        <f>(AU13*'Condition rating weights'!H$8+AV13*'Condition rating weights'!I$8+AW13*'Condition rating weights'!J$8+AX13*'Condition rating weights'!K$8+AY13*'Condition rating weights'!L$8+AZ13*'Condition rating weights'!M$8+BA13*'Condition rating weights'!N$8+BB13*'Condition rating weights'!O$8+BC13*'Condition rating weights'!P$8+BD13*'Condition rating weights'!Q$8+BE13*'Condition rating weights'!R$8+BF13*'Condition rating weights'!S$8)/100</f>
        <v>0</v>
      </c>
      <c r="BH13" s="333"/>
      <c r="BI13" s="333"/>
      <c r="BJ13" s="333"/>
      <c r="BK13" s="333"/>
      <c r="BL13" s="333"/>
      <c r="BM13" s="333"/>
      <c r="BN13" s="333"/>
      <c r="BO13" s="333"/>
      <c r="BP13" s="333"/>
      <c r="BQ13" s="333"/>
      <c r="BR13" s="333"/>
      <c r="BS13" s="333"/>
      <c r="BT13" s="334"/>
      <c r="BU13" s="335"/>
      <c r="BV13" s="255"/>
      <c r="BY13" s="376" t="str">
        <f>'GRC and TUL Assumptions'!A13</f>
        <v>Services Sanitation</v>
      </c>
      <c r="BZ13" s="373">
        <f>'GRC and TUL Assumptions'!C13</f>
        <v>100</v>
      </c>
      <c r="CA13" s="373">
        <f>'GRC and TUL Assumptions'!D13</f>
        <v>130</v>
      </c>
      <c r="CB13" s="373">
        <f>'GRC and TUL Assumptions'!E13</f>
        <v>150</v>
      </c>
      <c r="CC13" s="373">
        <v>0</v>
      </c>
      <c r="CD13" s="373">
        <f>'GRC and TUL Assumptions'!F13</f>
        <v>20</v>
      </c>
      <c r="CE13" s="373">
        <f>'GRC and TUL Assumptions'!G13</f>
        <v>30</v>
      </c>
      <c r="CF13" s="373">
        <f>'GRC and TUL Assumptions'!H13</f>
        <v>40</v>
      </c>
      <c r="CG13" s="373">
        <f t="shared" ref="CG13" si="49">CD13</f>
        <v>20</v>
      </c>
      <c r="CH13" s="378" t="e">
        <f t="shared" si="5"/>
        <v>#N/A</v>
      </c>
      <c r="CI13" s="378" t="e">
        <f t="shared" si="6"/>
        <v>#N/A</v>
      </c>
      <c r="CJ13" s="378" t="e">
        <f t="shared" si="7"/>
        <v>#N/A</v>
      </c>
      <c r="CK13" s="378" t="e">
        <f t="shared" si="8"/>
        <v>#N/A</v>
      </c>
      <c r="CL13" s="378" t="e">
        <f t="shared" si="9"/>
        <v>#N/A</v>
      </c>
      <c r="CM13" s="378" t="e">
        <f t="shared" si="10"/>
        <v>#N/A</v>
      </c>
      <c r="CN13" s="378" t="e">
        <f t="shared" si="11"/>
        <v>#N/A</v>
      </c>
      <c r="CO13" s="378" t="e">
        <f t="shared" si="12"/>
        <v>#N/A</v>
      </c>
      <c r="CP13" s="378" t="e">
        <f t="shared" si="13"/>
        <v>#N/A</v>
      </c>
      <c r="CQ13" s="378" t="e">
        <f t="shared" si="14"/>
        <v>#N/A</v>
      </c>
      <c r="CR13" s="354" t="e">
        <f t="shared" ref="CR13" si="50">SUM(CH13:CQ13)</f>
        <v>#N/A</v>
      </c>
      <c r="CS13" s="379" t="e">
        <f>(HLOOKUP($AI13,'Inflation Adjustments'!$B$3:$BT$4,2,TRUE))*CH13</f>
        <v>#N/A</v>
      </c>
      <c r="CT13" s="379" t="e">
        <f>(HLOOKUP($AI13,'Inflation Adjustments'!$B$3:$BT$4,2,TRUE))*CI13</f>
        <v>#N/A</v>
      </c>
      <c r="CU13" s="379" t="e">
        <f>(HLOOKUP($AI13,'Inflation Adjustments'!$B$3:$BT$4,2,TRUE))*CJ13</f>
        <v>#N/A</v>
      </c>
      <c r="CV13" s="379" t="e">
        <f>(HLOOKUP($AI13,'Inflation Adjustments'!$B$3:$BT$4,2,TRUE))*CK13</f>
        <v>#N/A</v>
      </c>
      <c r="CW13" s="379" t="e">
        <f>(HLOOKUP($AI13,'Inflation Adjustments'!$B$3:$BT$4,2,TRUE))*CL13</f>
        <v>#N/A</v>
      </c>
      <c r="CX13" s="379" t="e">
        <f>(HLOOKUP($AI13,'Inflation Adjustments'!$B$3:$BT$4,2,TRUE))*CM13</f>
        <v>#N/A</v>
      </c>
      <c r="CY13" s="379" t="e">
        <f>(HLOOKUP($AI13,'Inflation Adjustments'!$B$3:$BT$4,2,TRUE))*CN13</f>
        <v>#N/A</v>
      </c>
      <c r="CZ13" s="379" t="e">
        <f>(HLOOKUP($AI13,'Inflation Adjustments'!$B$3:$BT$4,2,TRUE))*CO13</f>
        <v>#N/A</v>
      </c>
      <c r="DA13" s="379" t="e">
        <f>(HLOOKUP($AI13,'Inflation Adjustments'!$B$3:$BT$4,2,TRUE))*CP13</f>
        <v>#N/A</v>
      </c>
      <c r="DB13" s="379" t="e">
        <f>(HLOOKUP($AI13,'Inflation Adjustments'!$B$3:$BT$4,2,TRUE))*CQ13</f>
        <v>#N/A</v>
      </c>
      <c r="DC13" s="379" t="e">
        <f>(HLOOKUP($AI13,'Inflation Adjustments'!$B$3:$BT$4,2,TRUE))*CR13</f>
        <v>#N/A</v>
      </c>
      <c r="DD13" s="354">
        <f t="shared" si="15"/>
        <v>2022</v>
      </c>
      <c r="DE13" s="378" t="e">
        <f t="shared" si="16"/>
        <v>#N/A</v>
      </c>
      <c r="DF13" s="378" t="e">
        <f t="shared" si="17"/>
        <v>#N/A</v>
      </c>
      <c r="DG13" s="378" t="e">
        <f t="shared" si="18"/>
        <v>#N/A</v>
      </c>
      <c r="DH13" s="378" t="e">
        <f t="shared" si="19"/>
        <v>#N/A</v>
      </c>
      <c r="DI13" s="378" t="e">
        <f t="shared" si="20"/>
        <v>#N/A</v>
      </c>
      <c r="DJ13" s="378" t="e">
        <f t="shared" si="21"/>
        <v>#N/A</v>
      </c>
      <c r="DK13" s="378" t="e">
        <f t="shared" si="22"/>
        <v>#N/A</v>
      </c>
      <c r="DL13" s="378" t="e">
        <f t="shared" si="23"/>
        <v>#N/A</v>
      </c>
      <c r="DM13" s="378" t="e">
        <f t="shared" si="24"/>
        <v>#N/A</v>
      </c>
      <c r="DN13" s="378" t="e">
        <f t="shared" si="25"/>
        <v>#N/A</v>
      </c>
      <c r="DO13" s="380" t="e">
        <f t="shared" ref="DO13" si="51">CS13/DE13</f>
        <v>#N/A</v>
      </c>
      <c r="DP13" s="380" t="e">
        <f t="shared" ref="DP13" si="52">CT13/DF13</f>
        <v>#N/A</v>
      </c>
      <c r="DQ13" s="380" t="e">
        <f t="shared" ref="DQ13" si="53">CU13/DG13</f>
        <v>#N/A</v>
      </c>
      <c r="DR13" s="380" t="e">
        <f t="shared" ref="DR13" si="54">CV13/DH13</f>
        <v>#N/A</v>
      </c>
      <c r="DS13" s="380" t="e">
        <f t="shared" ref="DS13" si="55">CW13/DI13</f>
        <v>#N/A</v>
      </c>
      <c r="DT13" s="380" t="e">
        <f t="shared" ref="DT13" si="56">CX13/DJ13</f>
        <v>#N/A</v>
      </c>
      <c r="DU13" s="380" t="e">
        <f t="shared" ref="DU13" si="57">CY13/DK13</f>
        <v>#N/A</v>
      </c>
      <c r="DV13" s="380" t="e">
        <f t="shared" ref="DV13" si="58">CZ13/DL13</f>
        <v>#N/A</v>
      </c>
      <c r="DW13" s="380" t="e">
        <f t="shared" ref="DW13" si="59">DA13/DM13</f>
        <v>#N/A</v>
      </c>
      <c r="DX13" s="380" t="e">
        <f t="shared" ref="DX13" si="60">DB13/DN13</f>
        <v>#N/A</v>
      </c>
      <c r="DY13" s="380" t="e">
        <f t="shared" ref="DY13" si="61">SUM(DO13:DX13)</f>
        <v>#N/A</v>
      </c>
      <c r="DZ13" s="378" t="e">
        <f t="shared" ref="DZ13" si="62">IF(DO13*$DD13&gt;CS13,CS13,DO13*$DD13)</f>
        <v>#N/A</v>
      </c>
      <c r="EA13" s="378" t="e">
        <f t="shared" ref="EA13" si="63">IF(DP13*$DD13&gt;CT13,CT13,DP13*$DD13)</f>
        <v>#N/A</v>
      </c>
      <c r="EB13" s="378" t="e">
        <f t="shared" ref="EB13" si="64">IF(DQ13*$DD13&gt;CU13,CU13,DQ13*$DD13)</f>
        <v>#N/A</v>
      </c>
      <c r="EC13" s="378" t="e">
        <f t="shared" ref="EC13" si="65">IF(DR13*$DD13&gt;CV13,CV13,DR13*$DD13)</f>
        <v>#N/A</v>
      </c>
      <c r="ED13" s="378" t="e">
        <f t="shared" ref="ED13" si="66">IF(DS13*$DD13&gt;CW13,CW13,DS13*$DD13)</f>
        <v>#N/A</v>
      </c>
      <c r="EE13" s="378" t="e">
        <f t="shared" ref="EE13" si="67">IF(DT13*$DD13&gt;CX13,CX13,DT13*$DD13)</f>
        <v>#N/A</v>
      </c>
      <c r="EF13" s="378" t="e">
        <f t="shared" ref="EF13" si="68">IF(DU13*$DD13&gt;CY13,CY13,DU13*$DD13)</f>
        <v>#N/A</v>
      </c>
      <c r="EG13" s="378" t="e">
        <f t="shared" ref="EG13" si="69">IF(DV13*$DD13&gt;CZ13,CZ13,DV13*$DD13)</f>
        <v>#N/A</v>
      </c>
      <c r="EH13" s="378" t="e">
        <f t="shared" ref="EH13" si="70">IF(DW13*$DD13&gt;DA13,DA13,DW13*$DD13)</f>
        <v>#N/A</v>
      </c>
      <c r="EI13" s="378" t="e">
        <f t="shared" ref="EI13" si="71">IF(DX13*$DD13&gt;DB13,DB13,DX13*$DD13)</f>
        <v>#N/A</v>
      </c>
      <c r="EJ13" s="354" t="e">
        <f t="shared" ref="EJ13" si="72">SUM(DZ13:EI13)</f>
        <v>#N/A</v>
      </c>
      <c r="EK13" s="380" t="e">
        <f t="shared" ref="EK13" si="73">IF(DO13&lt;(CS13-DZ13),DO13,(CS13-DZ13))</f>
        <v>#N/A</v>
      </c>
      <c r="EL13" s="380" t="e">
        <f t="shared" ref="EL13" si="74">IF(DP13&lt;(CT13-EA13),DP13,(CT13-EA13))</f>
        <v>#N/A</v>
      </c>
      <c r="EM13" s="380" t="e">
        <f t="shared" ref="EM13" si="75">IF(DQ13&lt;(CU13-EB13),DQ13,(CU13-EB13))</f>
        <v>#N/A</v>
      </c>
      <c r="EN13" s="380" t="e">
        <f t="shared" ref="EN13" si="76">IF(DR13&lt;(CV13-EC13),DR13,(CV13-EC13))</f>
        <v>#N/A</v>
      </c>
      <c r="EO13" s="380" t="e">
        <f t="shared" ref="EO13" si="77">IF(DS13&lt;(CW13-ED13),DS13,(CW13-ED13))</f>
        <v>#N/A</v>
      </c>
      <c r="EP13" s="380" t="e">
        <f t="shared" ref="EP13" si="78">IF(DT13&lt;(CX13-EE13),DT13,(CX13-EE13))</f>
        <v>#N/A</v>
      </c>
      <c r="EQ13" s="380" t="e">
        <f t="shared" ref="EQ13" si="79">IF(DU13&lt;(CY13-EF13),DU13,(CY13-EF13))</f>
        <v>#N/A</v>
      </c>
      <c r="ER13" s="380" t="e">
        <f t="shared" ref="ER13" si="80">IF(DV13&lt;(CZ13-EG13),DV13,(CZ13-EG13))</f>
        <v>#N/A</v>
      </c>
      <c r="ES13" s="380" t="e">
        <f t="shared" ref="ES13" si="81">IF(DW13&lt;(DA13-EH13),DW13,(DA13-EH13))</f>
        <v>#N/A</v>
      </c>
      <c r="ET13" s="380" t="e">
        <f t="shared" ref="ET13" si="82">IF(DX13&lt;(DB13-EI13),DX13,(DB13-EI13))</f>
        <v>#N/A</v>
      </c>
      <c r="EU13" s="379" t="e">
        <f t="shared" ref="EU13" si="83">SUM(EK13:ET13)</f>
        <v>#N/A</v>
      </c>
      <c r="EV13" s="382"/>
      <c r="EW13" s="382"/>
      <c r="EX13" s="382"/>
      <c r="EY13" s="382"/>
      <c r="EZ13" s="382"/>
      <c r="FA13" s="382"/>
      <c r="FB13" s="382"/>
    </row>
    <row r="14" spans="1:169" ht="66.5" customHeight="1" x14ac:dyDescent="0.3">
      <c r="A14" s="330" t="s">
        <v>1768</v>
      </c>
      <c r="B14" s="318"/>
      <c r="C14" s="318"/>
      <c r="D14" s="318"/>
      <c r="E14" s="318"/>
      <c r="F14" s="318"/>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7"/>
      <c r="AN14" s="318"/>
      <c r="AO14" s="511" t="e">
        <f t="shared" si="45"/>
        <v>#N/A</v>
      </c>
      <c r="AP14" s="511" t="e">
        <f t="shared" si="46"/>
        <v>#N/A</v>
      </c>
      <c r="AQ14" s="511" t="e">
        <f t="shared" si="47"/>
        <v>#N/A</v>
      </c>
      <c r="AR14" s="511" t="e">
        <f t="shared" si="48"/>
        <v>#N/A</v>
      </c>
      <c r="AS14" s="511" t="e">
        <f>HLOOKUP($C$1,'Inflation Adjustments'!$BI$3:$BT$4,2)*CR14</f>
        <v>#N/A</v>
      </c>
      <c r="AT14" s="511">
        <f>IF(BU14="In Service",'Maintenace Cost Assumptions'!$B$3*AS14,0)</f>
        <v>0</v>
      </c>
      <c r="AU14" s="318"/>
      <c r="AV14" s="318"/>
      <c r="AW14" s="318"/>
      <c r="AX14" s="318"/>
      <c r="AY14" s="318"/>
      <c r="AZ14" s="318"/>
      <c r="BA14" s="318"/>
      <c r="BB14" s="318"/>
      <c r="BC14" s="318"/>
      <c r="BD14" s="318"/>
      <c r="BE14" s="318"/>
      <c r="BF14" s="318"/>
      <c r="BG14" s="332">
        <f>(AU14*'Condition rating weights'!H$8+AV14*'Condition rating weights'!I$8+AW14*'Condition rating weights'!J$8+AX14*'Condition rating weights'!K$8+AY14*'Condition rating weights'!L$8+AZ14*'Condition rating weights'!M$8+BA14*'Condition rating weights'!N$8+BB14*'Condition rating weights'!O$8+BC14*'Condition rating weights'!P$8+BD14*'Condition rating weights'!Q$8+BE14*'Condition rating weights'!R$8+BF14*'Condition rating weights'!S$8)/100</f>
        <v>0</v>
      </c>
      <c r="BH14" s="333"/>
      <c r="BI14" s="333"/>
      <c r="BJ14" s="333"/>
      <c r="BK14" s="333"/>
      <c r="BL14" s="333"/>
      <c r="BM14" s="333"/>
      <c r="BN14" s="333"/>
      <c r="BO14" s="333"/>
      <c r="BP14" s="333"/>
      <c r="BQ14" s="333"/>
      <c r="BR14" s="333"/>
      <c r="BS14" s="333"/>
      <c r="BT14" s="334"/>
      <c r="BU14" s="335"/>
      <c r="BV14" s="255"/>
      <c r="BY14" s="376" t="str">
        <f>'GRC and TUL Assumptions'!A14</f>
        <v>Services Water</v>
      </c>
      <c r="BZ14" s="373">
        <f>'GRC and TUL Assumptions'!C14</f>
        <v>20</v>
      </c>
      <c r="CA14" s="373">
        <f>'GRC and TUL Assumptions'!D14</f>
        <v>40</v>
      </c>
      <c r="CB14" s="373">
        <f>'GRC and TUL Assumptions'!E14</f>
        <v>70</v>
      </c>
      <c r="CC14" s="373">
        <v>0</v>
      </c>
      <c r="CD14" s="373">
        <f>'GRC and TUL Assumptions'!F14</f>
        <v>20</v>
      </c>
      <c r="CE14" s="373">
        <f>'GRC and TUL Assumptions'!G14</f>
        <v>30</v>
      </c>
      <c r="CF14" s="373">
        <f>'GRC and TUL Assumptions'!H14</f>
        <v>40</v>
      </c>
      <c r="CG14" s="373">
        <f t="shared" si="37"/>
        <v>20</v>
      </c>
      <c r="CH14" s="378" t="e">
        <f t="shared" si="5"/>
        <v>#N/A</v>
      </c>
      <c r="CI14" s="378" t="e">
        <f t="shared" si="6"/>
        <v>#N/A</v>
      </c>
      <c r="CJ14" s="378" t="e">
        <f t="shared" si="7"/>
        <v>#N/A</v>
      </c>
      <c r="CK14" s="378" t="e">
        <f t="shared" si="8"/>
        <v>#N/A</v>
      </c>
      <c r="CL14" s="378" t="e">
        <f t="shared" si="9"/>
        <v>#N/A</v>
      </c>
      <c r="CM14" s="378" t="e">
        <f t="shared" si="10"/>
        <v>#N/A</v>
      </c>
      <c r="CN14" s="378" t="e">
        <f t="shared" si="11"/>
        <v>#N/A</v>
      </c>
      <c r="CO14" s="378" t="e">
        <f t="shared" si="12"/>
        <v>#N/A</v>
      </c>
      <c r="CP14" s="378" t="e">
        <f t="shared" si="13"/>
        <v>#N/A</v>
      </c>
      <c r="CQ14" s="378" t="e">
        <f t="shared" si="14"/>
        <v>#N/A</v>
      </c>
      <c r="CR14" s="354" t="e">
        <f t="shared" si="38"/>
        <v>#N/A</v>
      </c>
      <c r="CS14" s="379" t="e">
        <f>(HLOOKUP($AI14,'Inflation Adjustments'!$B$3:$BT$4,2,TRUE))*CH14</f>
        <v>#N/A</v>
      </c>
      <c r="CT14" s="379" t="e">
        <f>(HLOOKUP($AI14,'Inflation Adjustments'!$B$3:$BT$4,2,TRUE))*CI14</f>
        <v>#N/A</v>
      </c>
      <c r="CU14" s="379" t="e">
        <f>(HLOOKUP($AI14,'Inflation Adjustments'!$B$3:$BT$4,2,TRUE))*CJ14</f>
        <v>#N/A</v>
      </c>
      <c r="CV14" s="379" t="e">
        <f>(HLOOKUP($AI14,'Inflation Adjustments'!$B$3:$BT$4,2,TRUE))*CK14</f>
        <v>#N/A</v>
      </c>
      <c r="CW14" s="379" t="e">
        <f>(HLOOKUP($AI14,'Inflation Adjustments'!$B$3:$BT$4,2,TRUE))*CL14</f>
        <v>#N/A</v>
      </c>
      <c r="CX14" s="379" t="e">
        <f>(HLOOKUP($AI14,'Inflation Adjustments'!$B$3:$BT$4,2,TRUE))*CM14</f>
        <v>#N/A</v>
      </c>
      <c r="CY14" s="379" t="e">
        <f>(HLOOKUP($AI14,'Inflation Adjustments'!$B$3:$BT$4,2,TRUE))*CN14</f>
        <v>#N/A</v>
      </c>
      <c r="CZ14" s="379" t="e">
        <f>(HLOOKUP($AI14,'Inflation Adjustments'!$B$3:$BT$4,2,TRUE))*CO14</f>
        <v>#N/A</v>
      </c>
      <c r="DA14" s="379" t="e">
        <f>(HLOOKUP($AI14,'Inflation Adjustments'!$B$3:$BT$4,2,TRUE))*CP14</f>
        <v>#N/A</v>
      </c>
      <c r="DB14" s="379" t="e">
        <f>(HLOOKUP($AI14,'Inflation Adjustments'!$B$3:$BT$4,2,TRUE))*CQ14</f>
        <v>#N/A</v>
      </c>
      <c r="DC14" s="379" t="e">
        <f>SUM(CS14:DB14)</f>
        <v>#N/A</v>
      </c>
      <c r="DD14" s="354">
        <f t="shared" si="15"/>
        <v>2022</v>
      </c>
      <c r="DE14" s="378" t="e">
        <f t="shared" si="16"/>
        <v>#N/A</v>
      </c>
      <c r="DF14" s="378" t="e">
        <f t="shared" si="17"/>
        <v>#N/A</v>
      </c>
      <c r="DG14" s="378" t="e">
        <f t="shared" si="18"/>
        <v>#N/A</v>
      </c>
      <c r="DH14" s="378" t="e">
        <f t="shared" si="19"/>
        <v>#N/A</v>
      </c>
      <c r="DI14" s="378" t="e">
        <f t="shared" si="20"/>
        <v>#N/A</v>
      </c>
      <c r="DJ14" s="378" t="e">
        <f t="shared" si="21"/>
        <v>#N/A</v>
      </c>
      <c r="DK14" s="378" t="e">
        <f t="shared" si="22"/>
        <v>#N/A</v>
      </c>
      <c r="DL14" s="378" t="e">
        <f t="shared" si="23"/>
        <v>#N/A</v>
      </c>
      <c r="DM14" s="378" t="e">
        <f t="shared" si="24"/>
        <v>#N/A</v>
      </c>
      <c r="DN14" s="378" t="e">
        <f t="shared" si="25"/>
        <v>#N/A</v>
      </c>
      <c r="DO14" s="380" t="e">
        <f t="shared" si="26"/>
        <v>#N/A</v>
      </c>
      <c r="DP14" s="380" t="e">
        <f t="shared" si="27"/>
        <v>#N/A</v>
      </c>
      <c r="DQ14" s="380" t="e">
        <f t="shared" si="27"/>
        <v>#N/A</v>
      </c>
      <c r="DR14" s="380" t="e">
        <f t="shared" si="27"/>
        <v>#N/A</v>
      </c>
      <c r="DS14" s="380" t="e">
        <f t="shared" si="27"/>
        <v>#N/A</v>
      </c>
      <c r="DT14" s="380" t="e">
        <f t="shared" si="27"/>
        <v>#N/A</v>
      </c>
      <c r="DU14" s="380" t="e">
        <f t="shared" si="27"/>
        <v>#N/A</v>
      </c>
      <c r="DV14" s="380" t="e">
        <f t="shared" si="27"/>
        <v>#N/A</v>
      </c>
      <c r="DW14" s="380" t="e">
        <f t="shared" si="27"/>
        <v>#N/A</v>
      </c>
      <c r="DX14" s="380" t="e">
        <f t="shared" si="27"/>
        <v>#N/A</v>
      </c>
      <c r="DY14" s="380" t="e">
        <f t="shared" si="39"/>
        <v>#N/A</v>
      </c>
      <c r="DZ14" s="378" t="e">
        <f t="shared" si="28"/>
        <v>#N/A</v>
      </c>
      <c r="EA14" s="378" t="e">
        <f t="shared" si="29"/>
        <v>#N/A</v>
      </c>
      <c r="EB14" s="378" t="e">
        <f t="shared" si="29"/>
        <v>#N/A</v>
      </c>
      <c r="EC14" s="378" t="e">
        <f t="shared" si="29"/>
        <v>#N/A</v>
      </c>
      <c r="ED14" s="378" t="e">
        <f t="shared" si="29"/>
        <v>#N/A</v>
      </c>
      <c r="EE14" s="378" t="e">
        <f t="shared" si="29"/>
        <v>#N/A</v>
      </c>
      <c r="EF14" s="378" t="e">
        <f t="shared" si="29"/>
        <v>#N/A</v>
      </c>
      <c r="EG14" s="378" t="e">
        <f t="shared" si="29"/>
        <v>#N/A</v>
      </c>
      <c r="EH14" s="378" t="e">
        <f t="shared" si="29"/>
        <v>#N/A</v>
      </c>
      <c r="EI14" s="378" t="e">
        <f t="shared" si="29"/>
        <v>#N/A</v>
      </c>
      <c r="EJ14" s="354" t="e">
        <f t="shared" si="40"/>
        <v>#N/A</v>
      </c>
      <c r="EK14" s="380" t="e">
        <f t="shared" si="30"/>
        <v>#N/A</v>
      </c>
      <c r="EL14" s="380" t="e">
        <f t="shared" si="31"/>
        <v>#N/A</v>
      </c>
      <c r="EM14" s="380" t="e">
        <f t="shared" si="31"/>
        <v>#N/A</v>
      </c>
      <c r="EN14" s="380" t="e">
        <f t="shared" si="31"/>
        <v>#N/A</v>
      </c>
      <c r="EO14" s="380" t="e">
        <f t="shared" si="31"/>
        <v>#N/A</v>
      </c>
      <c r="EP14" s="380" t="e">
        <f t="shared" si="31"/>
        <v>#N/A</v>
      </c>
      <c r="EQ14" s="380" t="e">
        <f t="shared" si="31"/>
        <v>#N/A</v>
      </c>
      <c r="ER14" s="380" t="e">
        <f t="shared" si="31"/>
        <v>#N/A</v>
      </c>
      <c r="ES14" s="380" t="e">
        <f t="shared" si="31"/>
        <v>#N/A</v>
      </c>
      <c r="ET14" s="380" t="e">
        <f t="shared" si="31"/>
        <v>#N/A</v>
      </c>
      <c r="EU14" s="379" t="e">
        <f t="shared" si="41"/>
        <v>#N/A</v>
      </c>
      <c r="EV14" s="382"/>
      <c r="EW14" s="382"/>
      <c r="EX14" s="382"/>
      <c r="EY14" s="382"/>
      <c r="EZ14" s="382"/>
      <c r="FA14" s="382"/>
      <c r="FB14" s="382"/>
    </row>
    <row r="15" spans="1:169" ht="56.5" customHeight="1" x14ac:dyDescent="0.3">
      <c r="A15" s="330" t="s">
        <v>1769</v>
      </c>
      <c r="B15" s="318"/>
      <c r="C15" s="318"/>
      <c r="D15" s="318"/>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7"/>
      <c r="AN15" s="318"/>
      <c r="AO15" s="511" t="e">
        <f t="shared" si="45"/>
        <v>#N/A</v>
      </c>
      <c r="AP15" s="511" t="e">
        <f t="shared" si="46"/>
        <v>#N/A</v>
      </c>
      <c r="AQ15" s="511" t="e">
        <f t="shared" si="47"/>
        <v>#N/A</v>
      </c>
      <c r="AR15" s="511" t="e">
        <f t="shared" si="48"/>
        <v>#N/A</v>
      </c>
      <c r="AS15" s="511" t="e">
        <f>HLOOKUP($C$1,'Inflation Adjustments'!$BI$3:$BT$4,2)*CR15</f>
        <v>#N/A</v>
      </c>
      <c r="AT15" s="511">
        <f>IF(BU15="In Service",'Maintenace Cost Assumptions'!$B$3*AS15,0)</f>
        <v>0</v>
      </c>
      <c r="AU15" s="318"/>
      <c r="AV15" s="318"/>
      <c r="AW15" s="318"/>
      <c r="AX15" s="318"/>
      <c r="AY15" s="318"/>
      <c r="AZ15" s="318"/>
      <c r="BA15" s="318"/>
      <c r="BB15" s="318"/>
      <c r="BC15" s="318"/>
      <c r="BD15" s="318"/>
      <c r="BE15" s="318"/>
      <c r="BF15" s="318"/>
      <c r="BG15" s="332">
        <f>(AU15*'Condition rating weights'!H$8+AV15*'Condition rating weights'!I$8+AW15*'Condition rating weights'!J$8+AX15*'Condition rating weights'!K$8+AY15*'Condition rating weights'!L$8+AZ15*'Condition rating weights'!M$8+BA15*'Condition rating weights'!N$8+BB15*'Condition rating weights'!O$8+BC15*'Condition rating weights'!P$8+BD15*'Condition rating weights'!Q$8+BE15*'Condition rating weights'!R$8+BF15*'Condition rating weights'!S$8)/100</f>
        <v>0</v>
      </c>
      <c r="BH15" s="333"/>
      <c r="BI15" s="333"/>
      <c r="BJ15" s="333"/>
      <c r="BK15" s="333"/>
      <c r="BL15" s="333"/>
      <c r="BM15" s="333"/>
      <c r="BN15" s="333"/>
      <c r="BO15" s="333"/>
      <c r="BP15" s="333"/>
      <c r="BQ15" s="333"/>
      <c r="BR15" s="333"/>
      <c r="BS15" s="333"/>
      <c r="BT15" s="334"/>
      <c r="BU15" s="335"/>
      <c r="BV15" s="255"/>
      <c r="CD15" s="365"/>
      <c r="CH15" s="378" t="e">
        <f t="shared" si="5"/>
        <v>#N/A</v>
      </c>
      <c r="CI15" s="378" t="e">
        <f t="shared" si="6"/>
        <v>#N/A</v>
      </c>
      <c r="CJ15" s="378" t="e">
        <f t="shared" si="7"/>
        <v>#N/A</v>
      </c>
      <c r="CK15" s="378" t="e">
        <f t="shared" si="8"/>
        <v>#N/A</v>
      </c>
      <c r="CL15" s="378" t="e">
        <f t="shared" si="9"/>
        <v>#N/A</v>
      </c>
      <c r="CM15" s="378" t="e">
        <f t="shared" si="10"/>
        <v>#N/A</v>
      </c>
      <c r="CN15" s="378" t="e">
        <f t="shared" si="11"/>
        <v>#N/A</v>
      </c>
      <c r="CO15" s="378" t="e">
        <f t="shared" si="12"/>
        <v>#N/A</v>
      </c>
      <c r="CP15" s="378" t="e">
        <f t="shared" si="13"/>
        <v>#N/A</v>
      </c>
      <c r="CQ15" s="378" t="e">
        <f t="shared" si="14"/>
        <v>#N/A</v>
      </c>
      <c r="CR15" s="354" t="e">
        <f t="shared" si="38"/>
        <v>#N/A</v>
      </c>
      <c r="CS15" s="379" t="e">
        <f>(HLOOKUP($AI15,'Inflation Adjustments'!$B$3:$BT$4,2,TRUE))*CH15</f>
        <v>#N/A</v>
      </c>
      <c r="CT15" s="379" t="e">
        <f>(HLOOKUP($AI15,'Inflation Adjustments'!$B$3:$BT$4,2,TRUE))*CI15</f>
        <v>#N/A</v>
      </c>
      <c r="CU15" s="379" t="e">
        <f>(HLOOKUP($AI15,'Inflation Adjustments'!$B$3:$BT$4,2,TRUE))*CJ15</f>
        <v>#N/A</v>
      </c>
      <c r="CV15" s="379" t="e">
        <f>(HLOOKUP($AI15,'Inflation Adjustments'!$B$3:$BT$4,2,TRUE))*CK15</f>
        <v>#N/A</v>
      </c>
      <c r="CW15" s="379" t="e">
        <f>(HLOOKUP($AI15,'Inflation Adjustments'!$B$3:$BT$4,2,TRUE))*CL15</f>
        <v>#N/A</v>
      </c>
      <c r="CX15" s="379" t="e">
        <f>(HLOOKUP($AI15,'Inflation Adjustments'!$B$3:$BT$4,2,TRUE))*CM15</f>
        <v>#N/A</v>
      </c>
      <c r="CY15" s="379" t="e">
        <f>(HLOOKUP($AI15,'Inflation Adjustments'!$B$3:$BT$4,2,TRUE))*CN15</f>
        <v>#N/A</v>
      </c>
      <c r="CZ15" s="379" t="e">
        <f>(HLOOKUP($AI15,'Inflation Adjustments'!$B$3:$BT$4,2,TRUE))*CO15</f>
        <v>#N/A</v>
      </c>
      <c r="DA15" s="379" t="e">
        <f>(HLOOKUP($AI15,'Inflation Adjustments'!$B$3:$BT$4,2,TRUE))*CP15</f>
        <v>#N/A</v>
      </c>
      <c r="DB15" s="379" t="e">
        <f>(HLOOKUP($AI15,'Inflation Adjustments'!$B$3:$BT$4,2,TRUE))*CQ15</f>
        <v>#N/A</v>
      </c>
      <c r="DC15" s="379" t="e">
        <f>SUM(CS15:DB15)</f>
        <v>#N/A</v>
      </c>
      <c r="DD15" s="354">
        <f t="shared" si="15"/>
        <v>2022</v>
      </c>
      <c r="DE15" s="378" t="e">
        <f t="shared" si="16"/>
        <v>#N/A</v>
      </c>
      <c r="DF15" s="378" t="e">
        <f t="shared" si="17"/>
        <v>#N/A</v>
      </c>
      <c r="DG15" s="378" t="e">
        <f t="shared" si="18"/>
        <v>#N/A</v>
      </c>
      <c r="DH15" s="378" t="e">
        <f t="shared" si="19"/>
        <v>#N/A</v>
      </c>
      <c r="DI15" s="378" t="e">
        <f t="shared" si="20"/>
        <v>#N/A</v>
      </c>
      <c r="DJ15" s="378" t="e">
        <f t="shared" si="21"/>
        <v>#N/A</v>
      </c>
      <c r="DK15" s="378" t="e">
        <f t="shared" si="22"/>
        <v>#N/A</v>
      </c>
      <c r="DL15" s="378" t="e">
        <f t="shared" si="23"/>
        <v>#N/A</v>
      </c>
      <c r="DM15" s="378" t="e">
        <f t="shared" si="24"/>
        <v>#N/A</v>
      </c>
      <c r="DN15" s="378" t="e">
        <f t="shared" si="25"/>
        <v>#N/A</v>
      </c>
      <c r="DO15" s="380" t="e">
        <f t="shared" si="26"/>
        <v>#N/A</v>
      </c>
      <c r="DP15" s="380" t="e">
        <f t="shared" si="27"/>
        <v>#N/A</v>
      </c>
      <c r="DQ15" s="380" t="e">
        <f t="shared" si="27"/>
        <v>#N/A</v>
      </c>
      <c r="DR15" s="380" t="e">
        <f t="shared" si="27"/>
        <v>#N/A</v>
      </c>
      <c r="DS15" s="380" t="e">
        <f t="shared" si="27"/>
        <v>#N/A</v>
      </c>
      <c r="DT15" s="380" t="e">
        <f t="shared" si="27"/>
        <v>#N/A</v>
      </c>
      <c r="DU15" s="380" t="e">
        <f t="shared" si="27"/>
        <v>#N/A</v>
      </c>
      <c r="DV15" s="380" t="e">
        <f t="shared" si="27"/>
        <v>#N/A</v>
      </c>
      <c r="DW15" s="380" t="e">
        <f t="shared" si="27"/>
        <v>#N/A</v>
      </c>
      <c r="DX15" s="380" t="e">
        <f t="shared" si="27"/>
        <v>#N/A</v>
      </c>
      <c r="DY15" s="380" t="e">
        <f t="shared" si="39"/>
        <v>#N/A</v>
      </c>
      <c r="DZ15" s="378" t="e">
        <f t="shared" si="28"/>
        <v>#N/A</v>
      </c>
      <c r="EA15" s="378" t="e">
        <f t="shared" si="29"/>
        <v>#N/A</v>
      </c>
      <c r="EB15" s="378" t="e">
        <f t="shared" si="29"/>
        <v>#N/A</v>
      </c>
      <c r="EC15" s="378" t="e">
        <f t="shared" si="29"/>
        <v>#N/A</v>
      </c>
      <c r="ED15" s="378" t="e">
        <f t="shared" si="29"/>
        <v>#N/A</v>
      </c>
      <c r="EE15" s="378" t="e">
        <f t="shared" si="29"/>
        <v>#N/A</v>
      </c>
      <c r="EF15" s="378" t="e">
        <f t="shared" si="29"/>
        <v>#N/A</v>
      </c>
      <c r="EG15" s="378" t="e">
        <f t="shared" si="29"/>
        <v>#N/A</v>
      </c>
      <c r="EH15" s="378" t="e">
        <f t="shared" si="29"/>
        <v>#N/A</v>
      </c>
      <c r="EI15" s="378" t="e">
        <f t="shared" si="29"/>
        <v>#N/A</v>
      </c>
      <c r="EJ15" s="354" t="e">
        <f t="shared" si="40"/>
        <v>#N/A</v>
      </c>
      <c r="EK15" s="380" t="e">
        <f t="shared" si="30"/>
        <v>#N/A</v>
      </c>
      <c r="EL15" s="380" t="e">
        <f t="shared" si="31"/>
        <v>#N/A</v>
      </c>
      <c r="EM15" s="380" t="e">
        <f t="shared" si="31"/>
        <v>#N/A</v>
      </c>
      <c r="EN15" s="380" t="e">
        <f t="shared" si="31"/>
        <v>#N/A</v>
      </c>
      <c r="EO15" s="380" t="e">
        <f t="shared" si="31"/>
        <v>#N/A</v>
      </c>
      <c r="EP15" s="380" t="e">
        <f t="shared" si="31"/>
        <v>#N/A</v>
      </c>
      <c r="EQ15" s="380" t="e">
        <f t="shared" si="31"/>
        <v>#N/A</v>
      </c>
      <c r="ER15" s="380" t="e">
        <f t="shared" si="31"/>
        <v>#N/A</v>
      </c>
      <c r="ES15" s="380" t="e">
        <f t="shared" si="31"/>
        <v>#N/A</v>
      </c>
      <c r="ET15" s="380" t="e">
        <f t="shared" si="31"/>
        <v>#N/A</v>
      </c>
      <c r="EU15" s="379" t="e">
        <f t="shared" si="41"/>
        <v>#N/A</v>
      </c>
      <c r="EV15" s="382"/>
      <c r="EW15" s="382"/>
      <c r="EX15" s="382"/>
      <c r="EY15" s="382"/>
      <c r="EZ15" s="382"/>
      <c r="FA15" s="382"/>
      <c r="FB15" s="382"/>
      <c r="FD15" s="589" t="s">
        <v>1652</v>
      </c>
      <c r="FE15" s="589"/>
      <c r="FF15" s="589"/>
      <c r="FG15" s="589"/>
    </row>
    <row r="16" spans="1:169" ht="59.5" customHeight="1" x14ac:dyDescent="0.3">
      <c r="A16" s="330"/>
      <c r="B16" s="318"/>
      <c r="C16" s="318"/>
      <c r="D16" s="318"/>
      <c r="E16" s="318"/>
      <c r="F16" s="318"/>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18"/>
      <c r="AM16" s="317"/>
      <c r="AN16" s="318"/>
      <c r="AO16" s="511" t="e">
        <f t="shared" si="45"/>
        <v>#N/A</v>
      </c>
      <c r="AP16" s="511" t="e">
        <f t="shared" si="46"/>
        <v>#N/A</v>
      </c>
      <c r="AQ16" s="511" t="e">
        <f t="shared" si="47"/>
        <v>#N/A</v>
      </c>
      <c r="AR16" s="511" t="e">
        <f t="shared" si="48"/>
        <v>#N/A</v>
      </c>
      <c r="AS16" s="511" t="e">
        <f>HLOOKUP($C$1,'Inflation Adjustments'!$BI$3:$BT$4,2)*CR16</f>
        <v>#N/A</v>
      </c>
      <c r="AT16" s="511">
        <f>IF(BU16="In Service",'Maintenace Cost Assumptions'!$B$3*AS16,0)</f>
        <v>0</v>
      </c>
      <c r="AU16" s="318"/>
      <c r="AV16" s="318"/>
      <c r="AW16" s="318"/>
      <c r="AX16" s="318"/>
      <c r="AY16" s="318"/>
      <c r="AZ16" s="318"/>
      <c r="BA16" s="318"/>
      <c r="BB16" s="318"/>
      <c r="BC16" s="318"/>
      <c r="BD16" s="318"/>
      <c r="BE16" s="318"/>
      <c r="BF16" s="318"/>
      <c r="BG16" s="332">
        <f>(AU16*'Condition rating weights'!H$8+AV16*'Condition rating weights'!I$8+AW16*'Condition rating weights'!J$8+AX16*'Condition rating weights'!K$8+AY16*'Condition rating weights'!L$8+AZ16*'Condition rating weights'!M$8+BA16*'Condition rating weights'!N$8+BB16*'Condition rating weights'!O$8+BC16*'Condition rating weights'!P$8+BD16*'Condition rating weights'!Q$8+BE16*'Condition rating weights'!R$8+BF16*'Condition rating weights'!S$8)/100</f>
        <v>0</v>
      </c>
      <c r="BH16" s="333"/>
      <c r="BI16" s="333"/>
      <c r="BJ16" s="333"/>
      <c r="BK16" s="333"/>
      <c r="BL16" s="333"/>
      <c r="BM16" s="333"/>
      <c r="BN16" s="333"/>
      <c r="BO16" s="333"/>
      <c r="BP16" s="333"/>
      <c r="BQ16" s="333"/>
      <c r="BR16" s="333"/>
      <c r="BS16" s="333"/>
      <c r="BT16" s="334"/>
      <c r="BU16" s="335"/>
      <c r="BV16" s="255"/>
      <c r="CH16" s="378" t="e">
        <f t="shared" si="5"/>
        <v>#N/A</v>
      </c>
      <c r="CI16" s="378" t="e">
        <f t="shared" si="6"/>
        <v>#N/A</v>
      </c>
      <c r="CJ16" s="378" t="e">
        <f t="shared" si="7"/>
        <v>#N/A</v>
      </c>
      <c r="CK16" s="378" t="e">
        <f t="shared" si="8"/>
        <v>#N/A</v>
      </c>
      <c r="CL16" s="378" t="e">
        <f t="shared" si="9"/>
        <v>#N/A</v>
      </c>
      <c r="CM16" s="378" t="e">
        <f t="shared" si="10"/>
        <v>#N/A</v>
      </c>
      <c r="CN16" s="378" t="e">
        <f t="shared" si="11"/>
        <v>#N/A</v>
      </c>
      <c r="CO16" s="378" t="e">
        <f t="shared" si="12"/>
        <v>#N/A</v>
      </c>
      <c r="CP16" s="378" t="e">
        <f t="shared" si="13"/>
        <v>#N/A</v>
      </c>
      <c r="CQ16" s="378" t="e">
        <f t="shared" si="14"/>
        <v>#N/A</v>
      </c>
      <c r="CR16" s="354" t="e">
        <f t="shared" si="38"/>
        <v>#N/A</v>
      </c>
      <c r="CS16" s="379" t="e">
        <f>(HLOOKUP($AI16,'Inflation Adjustments'!$B$3:$BT$4,2,TRUE))*CH16</f>
        <v>#N/A</v>
      </c>
      <c r="CT16" s="379" t="e">
        <f>(HLOOKUP($AI16,'Inflation Adjustments'!$B$3:$BT$4,2,TRUE))*CI16</f>
        <v>#N/A</v>
      </c>
      <c r="CU16" s="379" t="e">
        <f>(HLOOKUP($AI16,'Inflation Adjustments'!$B$3:$BT$4,2,TRUE))*CJ16</f>
        <v>#N/A</v>
      </c>
      <c r="CV16" s="379" t="e">
        <f>(HLOOKUP($AI16,'Inflation Adjustments'!$B$3:$BT$4,2,TRUE))*CK16</f>
        <v>#N/A</v>
      </c>
      <c r="CW16" s="379" t="e">
        <f>(HLOOKUP($AI16,'Inflation Adjustments'!$B$3:$BT$4,2,TRUE))*CL16</f>
        <v>#N/A</v>
      </c>
      <c r="CX16" s="379" t="e">
        <f>(HLOOKUP($AI16,'Inflation Adjustments'!$B$3:$BT$4,2,TRUE))*CM16</f>
        <v>#N/A</v>
      </c>
      <c r="CY16" s="379" t="e">
        <f>(HLOOKUP($AI16,'Inflation Adjustments'!$B$3:$BT$4,2,TRUE))*CN16</f>
        <v>#N/A</v>
      </c>
      <c r="CZ16" s="379" t="e">
        <f>(HLOOKUP($AI16,'Inflation Adjustments'!$B$3:$BT$4,2,TRUE))*CO16</f>
        <v>#N/A</v>
      </c>
      <c r="DA16" s="379" t="e">
        <f>(HLOOKUP($AI16,'Inflation Adjustments'!$B$3:$BT$4,2,TRUE))*CP16</f>
        <v>#N/A</v>
      </c>
      <c r="DB16" s="379" t="e">
        <f>(HLOOKUP($AI16,'Inflation Adjustments'!$B$3:$BT$4,2,TRUE))*CQ16</f>
        <v>#N/A</v>
      </c>
      <c r="DC16" s="379" t="e">
        <f>SUM(CS16:DB16)</f>
        <v>#N/A</v>
      </c>
      <c r="DD16" s="354">
        <f t="shared" si="15"/>
        <v>2022</v>
      </c>
      <c r="DE16" s="378" t="e">
        <f t="shared" si="16"/>
        <v>#N/A</v>
      </c>
      <c r="DF16" s="378" t="e">
        <f t="shared" si="17"/>
        <v>#N/A</v>
      </c>
      <c r="DG16" s="378" t="e">
        <f t="shared" si="18"/>
        <v>#N/A</v>
      </c>
      <c r="DH16" s="378" t="e">
        <f t="shared" si="19"/>
        <v>#N/A</v>
      </c>
      <c r="DI16" s="378" t="e">
        <f t="shared" si="20"/>
        <v>#N/A</v>
      </c>
      <c r="DJ16" s="378" t="e">
        <f t="shared" si="21"/>
        <v>#N/A</v>
      </c>
      <c r="DK16" s="378" t="e">
        <f t="shared" si="22"/>
        <v>#N/A</v>
      </c>
      <c r="DL16" s="378" t="e">
        <f t="shared" si="23"/>
        <v>#N/A</v>
      </c>
      <c r="DM16" s="378" t="e">
        <f t="shared" si="24"/>
        <v>#N/A</v>
      </c>
      <c r="DN16" s="378" t="e">
        <f t="shared" si="25"/>
        <v>#N/A</v>
      </c>
      <c r="DO16" s="380" t="e">
        <f t="shared" si="26"/>
        <v>#N/A</v>
      </c>
      <c r="DP16" s="380" t="e">
        <f t="shared" ref="DP16:DX17" si="84">CT16/DF16</f>
        <v>#N/A</v>
      </c>
      <c r="DQ16" s="380" t="e">
        <f t="shared" si="84"/>
        <v>#N/A</v>
      </c>
      <c r="DR16" s="380" t="e">
        <f t="shared" si="84"/>
        <v>#N/A</v>
      </c>
      <c r="DS16" s="380" t="e">
        <f t="shared" si="84"/>
        <v>#N/A</v>
      </c>
      <c r="DT16" s="380" t="e">
        <f t="shared" si="84"/>
        <v>#N/A</v>
      </c>
      <c r="DU16" s="380" t="e">
        <f t="shared" si="84"/>
        <v>#N/A</v>
      </c>
      <c r="DV16" s="380" t="e">
        <f t="shared" si="84"/>
        <v>#N/A</v>
      </c>
      <c r="DW16" s="380" t="e">
        <f t="shared" si="84"/>
        <v>#N/A</v>
      </c>
      <c r="DX16" s="380" t="e">
        <f t="shared" si="84"/>
        <v>#N/A</v>
      </c>
      <c r="DY16" s="380" t="e">
        <f t="shared" si="39"/>
        <v>#N/A</v>
      </c>
      <c r="DZ16" s="378" t="e">
        <f t="shared" si="28"/>
        <v>#N/A</v>
      </c>
      <c r="EA16" s="378" t="e">
        <f t="shared" ref="EA16:EI17" si="85">IF(DP16*$DD16&gt;CT16,CT16,DP16*$DD16)</f>
        <v>#N/A</v>
      </c>
      <c r="EB16" s="378" t="e">
        <f t="shared" si="85"/>
        <v>#N/A</v>
      </c>
      <c r="EC16" s="378" t="e">
        <f t="shared" si="85"/>
        <v>#N/A</v>
      </c>
      <c r="ED16" s="378" t="e">
        <f t="shared" si="85"/>
        <v>#N/A</v>
      </c>
      <c r="EE16" s="378" t="e">
        <f t="shared" si="85"/>
        <v>#N/A</v>
      </c>
      <c r="EF16" s="378" t="e">
        <f t="shared" si="85"/>
        <v>#N/A</v>
      </c>
      <c r="EG16" s="378" t="e">
        <f t="shared" si="85"/>
        <v>#N/A</v>
      </c>
      <c r="EH16" s="378" t="e">
        <f t="shared" si="85"/>
        <v>#N/A</v>
      </c>
      <c r="EI16" s="378" t="e">
        <f t="shared" si="85"/>
        <v>#N/A</v>
      </c>
      <c r="EJ16" s="354" t="e">
        <f t="shared" si="40"/>
        <v>#N/A</v>
      </c>
      <c r="EK16" s="380" t="e">
        <f t="shared" si="30"/>
        <v>#N/A</v>
      </c>
      <c r="EL16" s="380" t="e">
        <f t="shared" ref="EL16:ET17" si="86">IF(DP16&lt;(CT16-EA16),DP16,(CT16-EA16))</f>
        <v>#N/A</v>
      </c>
      <c r="EM16" s="380" t="e">
        <f t="shared" si="86"/>
        <v>#N/A</v>
      </c>
      <c r="EN16" s="380" t="e">
        <f t="shared" si="86"/>
        <v>#N/A</v>
      </c>
      <c r="EO16" s="380" t="e">
        <f t="shared" si="86"/>
        <v>#N/A</v>
      </c>
      <c r="EP16" s="380" t="e">
        <f t="shared" si="86"/>
        <v>#N/A</v>
      </c>
      <c r="EQ16" s="380" t="e">
        <f t="shared" si="86"/>
        <v>#N/A</v>
      </c>
      <c r="ER16" s="380" t="e">
        <f t="shared" si="86"/>
        <v>#N/A</v>
      </c>
      <c r="ES16" s="380" t="e">
        <f t="shared" si="86"/>
        <v>#N/A</v>
      </c>
      <c r="ET16" s="380" t="e">
        <f t="shared" si="86"/>
        <v>#N/A</v>
      </c>
      <c r="EU16" s="379" t="e">
        <f t="shared" si="41"/>
        <v>#N/A</v>
      </c>
      <c r="EV16" s="382"/>
      <c r="EW16" s="382"/>
      <c r="EX16" s="382"/>
      <c r="EY16" s="382"/>
      <c r="EZ16" s="382"/>
      <c r="FA16" s="382"/>
      <c r="FB16" s="382"/>
    </row>
    <row r="17" spans="1:171" ht="59.5" customHeight="1" x14ac:dyDescent="0.3">
      <c r="A17" s="330"/>
      <c r="B17" s="318"/>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7"/>
      <c r="AN17" s="318"/>
      <c r="AO17" s="511" t="e">
        <f t="shared" si="45"/>
        <v>#N/A</v>
      </c>
      <c r="AP17" s="511" t="e">
        <f t="shared" si="46"/>
        <v>#N/A</v>
      </c>
      <c r="AQ17" s="511" t="e">
        <f t="shared" si="47"/>
        <v>#N/A</v>
      </c>
      <c r="AR17" s="511" t="e">
        <f t="shared" si="48"/>
        <v>#N/A</v>
      </c>
      <c r="AS17" s="511" t="e">
        <f>HLOOKUP($C$1,'Inflation Adjustments'!$BI$3:$BT$4,2)*CR17</f>
        <v>#N/A</v>
      </c>
      <c r="AT17" s="511">
        <f>IF(BU17="In Service",'Maintenace Cost Assumptions'!$B$3*AS17,0)</f>
        <v>0</v>
      </c>
      <c r="AU17" s="318"/>
      <c r="AV17" s="318"/>
      <c r="AW17" s="318"/>
      <c r="AX17" s="318"/>
      <c r="AY17" s="318"/>
      <c r="AZ17" s="318"/>
      <c r="BA17" s="318"/>
      <c r="BB17" s="318"/>
      <c r="BC17" s="318"/>
      <c r="BD17" s="318"/>
      <c r="BE17" s="318"/>
      <c r="BF17" s="318"/>
      <c r="BG17" s="332">
        <f>(AU17*'Condition rating weights'!H$8+AV17*'Condition rating weights'!I$8+AW17*'Condition rating weights'!J$8+AX17*'Condition rating weights'!K$8+AY17*'Condition rating weights'!L$8+AZ17*'Condition rating weights'!M$8+BA17*'Condition rating weights'!N$8+BB17*'Condition rating weights'!O$8+BC17*'Condition rating weights'!P$8+BD17*'Condition rating weights'!Q$8+BE17*'Condition rating weights'!R$8+BF17*'Condition rating weights'!S$8)/100</f>
        <v>0</v>
      </c>
      <c r="BH17" s="333"/>
      <c r="BI17" s="333"/>
      <c r="BJ17" s="333"/>
      <c r="BK17" s="333"/>
      <c r="BL17" s="333"/>
      <c r="BM17" s="333"/>
      <c r="BN17" s="333"/>
      <c r="BO17" s="333"/>
      <c r="BP17" s="333"/>
      <c r="BQ17" s="333"/>
      <c r="BR17" s="333"/>
      <c r="BS17" s="333"/>
      <c r="BT17" s="334"/>
      <c r="BU17" s="335"/>
      <c r="BV17" s="255"/>
      <c r="CH17" s="378" t="e">
        <f t="shared" si="5"/>
        <v>#N/A</v>
      </c>
      <c r="CI17" s="378" t="e">
        <f t="shared" si="6"/>
        <v>#N/A</v>
      </c>
      <c r="CJ17" s="378" t="e">
        <f t="shared" si="7"/>
        <v>#N/A</v>
      </c>
      <c r="CK17" s="378" t="e">
        <f t="shared" si="8"/>
        <v>#N/A</v>
      </c>
      <c r="CL17" s="378" t="e">
        <f t="shared" si="9"/>
        <v>#N/A</v>
      </c>
      <c r="CM17" s="378" t="e">
        <f t="shared" si="10"/>
        <v>#N/A</v>
      </c>
      <c r="CN17" s="378" t="e">
        <f t="shared" si="11"/>
        <v>#N/A</v>
      </c>
      <c r="CO17" s="378" t="e">
        <f t="shared" si="12"/>
        <v>#N/A</v>
      </c>
      <c r="CP17" s="378" t="e">
        <f t="shared" si="13"/>
        <v>#N/A</v>
      </c>
      <c r="CQ17" s="378" t="e">
        <f t="shared" si="14"/>
        <v>#N/A</v>
      </c>
      <c r="CR17" s="354" t="e">
        <f t="shared" si="38"/>
        <v>#N/A</v>
      </c>
      <c r="CS17" s="379" t="e">
        <f>(HLOOKUP($AI17,'Inflation Adjustments'!$B$3:$BT$4,2,TRUE))*CH17</f>
        <v>#N/A</v>
      </c>
      <c r="CT17" s="379" t="e">
        <f>(HLOOKUP($AI17,'Inflation Adjustments'!$B$3:$BT$4,2,TRUE))*CI17</f>
        <v>#N/A</v>
      </c>
      <c r="CU17" s="379" t="e">
        <f>(HLOOKUP($AI17,'Inflation Adjustments'!$B$3:$BT$4,2,TRUE))*CJ17</f>
        <v>#N/A</v>
      </c>
      <c r="CV17" s="379" t="e">
        <f>(HLOOKUP($AI17,'Inflation Adjustments'!$B$3:$BT$4,2,TRUE))*CK17</f>
        <v>#N/A</v>
      </c>
      <c r="CW17" s="379" t="e">
        <f>(HLOOKUP($AI17,'Inflation Adjustments'!$B$3:$BT$4,2,TRUE))*CL17</f>
        <v>#N/A</v>
      </c>
      <c r="CX17" s="379" t="e">
        <f>(HLOOKUP($AI17,'Inflation Adjustments'!$B$3:$BT$4,2,TRUE))*CM17</f>
        <v>#N/A</v>
      </c>
      <c r="CY17" s="379" t="e">
        <f>(HLOOKUP($AI17,'Inflation Adjustments'!$B$3:$BT$4,2,TRUE))*CN17</f>
        <v>#N/A</v>
      </c>
      <c r="CZ17" s="379" t="e">
        <f>(HLOOKUP($AI17,'Inflation Adjustments'!$B$3:$BT$4,2,TRUE))*CO17</f>
        <v>#N/A</v>
      </c>
      <c r="DA17" s="379" t="e">
        <f>(HLOOKUP($AI17,'Inflation Adjustments'!$B$3:$BT$4,2,TRUE))*CP17</f>
        <v>#N/A</v>
      </c>
      <c r="DB17" s="379" t="e">
        <f>(HLOOKUP($AI17,'Inflation Adjustments'!$B$3:$BT$4,2,TRUE))*CQ17</f>
        <v>#N/A</v>
      </c>
      <c r="DC17" s="379" t="e">
        <f>SUM(CS17:DB17)</f>
        <v>#N/A</v>
      </c>
      <c r="DD17" s="354">
        <f t="shared" si="15"/>
        <v>2022</v>
      </c>
      <c r="DE17" s="378" t="e">
        <f t="shared" si="16"/>
        <v>#N/A</v>
      </c>
      <c r="DF17" s="378" t="e">
        <f t="shared" si="17"/>
        <v>#N/A</v>
      </c>
      <c r="DG17" s="378" t="e">
        <f t="shared" si="18"/>
        <v>#N/A</v>
      </c>
      <c r="DH17" s="378" t="e">
        <f t="shared" si="19"/>
        <v>#N/A</v>
      </c>
      <c r="DI17" s="378" t="e">
        <f t="shared" si="20"/>
        <v>#N/A</v>
      </c>
      <c r="DJ17" s="378" t="e">
        <f t="shared" si="21"/>
        <v>#N/A</v>
      </c>
      <c r="DK17" s="378" t="e">
        <f t="shared" si="22"/>
        <v>#N/A</v>
      </c>
      <c r="DL17" s="378" t="e">
        <f t="shared" si="23"/>
        <v>#N/A</v>
      </c>
      <c r="DM17" s="378" t="e">
        <f t="shared" si="24"/>
        <v>#N/A</v>
      </c>
      <c r="DN17" s="378" t="e">
        <f t="shared" si="25"/>
        <v>#N/A</v>
      </c>
      <c r="DO17" s="380" t="e">
        <f t="shared" si="26"/>
        <v>#N/A</v>
      </c>
      <c r="DP17" s="380" t="e">
        <f t="shared" si="84"/>
        <v>#N/A</v>
      </c>
      <c r="DQ17" s="380" t="e">
        <f t="shared" si="84"/>
        <v>#N/A</v>
      </c>
      <c r="DR17" s="380" t="e">
        <f t="shared" si="84"/>
        <v>#N/A</v>
      </c>
      <c r="DS17" s="380" t="e">
        <f t="shared" si="84"/>
        <v>#N/A</v>
      </c>
      <c r="DT17" s="380" t="e">
        <f t="shared" si="84"/>
        <v>#N/A</v>
      </c>
      <c r="DU17" s="380" t="e">
        <f t="shared" si="84"/>
        <v>#N/A</v>
      </c>
      <c r="DV17" s="380" t="e">
        <f t="shared" si="84"/>
        <v>#N/A</v>
      </c>
      <c r="DW17" s="380" t="e">
        <f t="shared" si="84"/>
        <v>#N/A</v>
      </c>
      <c r="DX17" s="380" t="e">
        <f t="shared" si="84"/>
        <v>#N/A</v>
      </c>
      <c r="DY17" s="380" t="e">
        <f t="shared" si="39"/>
        <v>#N/A</v>
      </c>
      <c r="DZ17" s="378" t="e">
        <f t="shared" si="28"/>
        <v>#N/A</v>
      </c>
      <c r="EA17" s="378" t="e">
        <f t="shared" si="85"/>
        <v>#N/A</v>
      </c>
      <c r="EB17" s="378" t="e">
        <f t="shared" si="85"/>
        <v>#N/A</v>
      </c>
      <c r="EC17" s="378" t="e">
        <f t="shared" si="85"/>
        <v>#N/A</v>
      </c>
      <c r="ED17" s="378" t="e">
        <f t="shared" si="85"/>
        <v>#N/A</v>
      </c>
      <c r="EE17" s="378" t="e">
        <f t="shared" si="85"/>
        <v>#N/A</v>
      </c>
      <c r="EF17" s="378" t="e">
        <f t="shared" si="85"/>
        <v>#N/A</v>
      </c>
      <c r="EG17" s="378" t="e">
        <f t="shared" si="85"/>
        <v>#N/A</v>
      </c>
      <c r="EH17" s="378" t="e">
        <f t="shared" si="85"/>
        <v>#N/A</v>
      </c>
      <c r="EI17" s="378" t="e">
        <f t="shared" si="85"/>
        <v>#N/A</v>
      </c>
      <c r="EJ17" s="354" t="e">
        <f t="shared" si="40"/>
        <v>#N/A</v>
      </c>
      <c r="EK17" s="380" t="e">
        <f t="shared" si="30"/>
        <v>#N/A</v>
      </c>
      <c r="EL17" s="380" t="e">
        <f t="shared" si="86"/>
        <v>#N/A</v>
      </c>
      <c r="EM17" s="380" t="e">
        <f t="shared" si="86"/>
        <v>#N/A</v>
      </c>
      <c r="EN17" s="380" t="e">
        <f t="shared" si="86"/>
        <v>#N/A</v>
      </c>
      <c r="EO17" s="380" t="e">
        <f t="shared" si="86"/>
        <v>#N/A</v>
      </c>
      <c r="EP17" s="380" t="e">
        <f t="shared" si="86"/>
        <v>#N/A</v>
      </c>
      <c r="EQ17" s="380" t="e">
        <f t="shared" si="86"/>
        <v>#N/A</v>
      </c>
      <c r="ER17" s="380" t="e">
        <f t="shared" si="86"/>
        <v>#N/A</v>
      </c>
      <c r="ES17" s="380" t="e">
        <f t="shared" si="86"/>
        <v>#N/A</v>
      </c>
      <c r="ET17" s="380" t="e">
        <f t="shared" si="86"/>
        <v>#N/A</v>
      </c>
      <c r="EU17" s="379" t="e">
        <f t="shared" si="41"/>
        <v>#N/A</v>
      </c>
      <c r="EV17" s="382"/>
      <c r="EW17" s="382"/>
      <c r="EX17" s="382"/>
      <c r="EY17" s="382"/>
      <c r="EZ17" s="382"/>
      <c r="FA17" s="382"/>
      <c r="FB17" s="382"/>
    </row>
    <row r="18" spans="1:171" x14ac:dyDescent="0.3">
      <c r="A18" s="255"/>
      <c r="B18" s="255"/>
      <c r="C18" s="255"/>
      <c r="D18" s="255"/>
      <c r="E18" s="255"/>
      <c r="F18" s="255"/>
      <c r="G18" s="255"/>
      <c r="H18" s="25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333"/>
      <c r="BH18" s="255"/>
      <c r="BI18" s="255"/>
      <c r="BJ18" s="255"/>
      <c r="BK18" s="255"/>
      <c r="BL18" s="255"/>
      <c r="BM18" s="255"/>
      <c r="BN18" s="255"/>
      <c r="BO18" s="255"/>
      <c r="BP18" s="255"/>
      <c r="BQ18" s="255"/>
      <c r="BR18" s="255"/>
      <c r="BS18" s="255"/>
      <c r="BT18" s="339"/>
      <c r="BU18" s="339"/>
      <c r="BV18" s="255"/>
      <c r="CH18" s="383"/>
      <c r="CI18" s="383"/>
      <c r="CJ18" s="383"/>
      <c r="CK18" s="383"/>
      <c r="CL18" s="383"/>
      <c r="CM18" s="383"/>
      <c r="CN18" s="383"/>
      <c r="CO18" s="383"/>
      <c r="CP18" s="383"/>
      <c r="CQ18" s="383"/>
      <c r="CR18" s="384"/>
      <c r="CS18" s="384"/>
      <c r="CT18" s="384"/>
      <c r="CU18" s="384"/>
      <c r="CV18" s="384"/>
      <c r="CW18" s="384"/>
    </row>
    <row r="19" spans="1:171" x14ac:dyDescent="0.3">
      <c r="A19" s="255"/>
      <c r="B19" s="255"/>
      <c r="C19" s="255"/>
      <c r="D19" s="255"/>
      <c r="E19" s="255"/>
      <c r="F19" s="255"/>
      <c r="G19" s="255"/>
      <c r="H19" s="255"/>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5"/>
      <c r="AM19" s="342"/>
      <c r="AN19" s="255"/>
      <c r="AO19" s="342"/>
      <c r="AP19" s="342"/>
      <c r="AQ19" s="342"/>
      <c r="AR19" s="342"/>
      <c r="AS19" s="342"/>
      <c r="AT19" s="342"/>
      <c r="AU19" s="255"/>
      <c r="AV19" s="255"/>
      <c r="AW19" s="255"/>
      <c r="AX19" s="255"/>
      <c r="AY19" s="255"/>
      <c r="AZ19" s="255"/>
      <c r="BA19" s="255"/>
      <c r="BB19" s="255"/>
      <c r="BC19" s="255"/>
      <c r="BD19" s="255"/>
      <c r="BE19" s="255"/>
      <c r="BF19" s="255"/>
      <c r="BG19" s="255"/>
      <c r="BH19" s="255"/>
      <c r="BI19" s="255"/>
      <c r="BJ19" s="255"/>
      <c r="BK19" s="255"/>
      <c r="BL19" s="255"/>
      <c r="BM19" s="255"/>
      <c r="BN19" s="255"/>
      <c r="BO19" s="255"/>
      <c r="BP19" s="255"/>
      <c r="BQ19" s="255"/>
      <c r="BR19" s="255"/>
      <c r="BS19" s="255"/>
      <c r="BT19" s="339"/>
      <c r="BU19" s="339"/>
      <c r="BV19" s="255"/>
    </row>
    <row r="20" spans="1:171" x14ac:dyDescent="0.3">
      <c r="AT20" s="343"/>
    </row>
    <row r="22" spans="1:171" x14ac:dyDescent="0.3">
      <c r="AS22" s="385"/>
      <c r="AT22" s="385"/>
    </row>
    <row r="24" spans="1:171" x14ac:dyDescent="0.3">
      <c r="FO24" s="386"/>
    </row>
    <row r="50" spans="2:158" ht="39" customHeight="1" x14ac:dyDescent="0.3">
      <c r="B50" s="91" t="s">
        <v>52</v>
      </c>
      <c r="AM50" s="508">
        <f>SUM(AM5:AM12)</f>
        <v>7515853.755559572</v>
      </c>
      <c r="AN50" s="508">
        <f t="shared" ref="AN50:AT50" si="87">SUM(AN5:AN12)</f>
        <v>0</v>
      </c>
      <c r="AO50" s="508">
        <f t="shared" si="87"/>
        <v>2103021.284722107</v>
      </c>
      <c r="AP50" s="508">
        <f t="shared" si="87"/>
        <v>5412832.4708374655</v>
      </c>
      <c r="AQ50" s="508">
        <f t="shared" si="87"/>
        <v>187498.14933194173</v>
      </c>
      <c r="AR50" s="508">
        <f t="shared" si="87"/>
        <v>5225334.3215055233</v>
      </c>
      <c r="AS50" s="508">
        <f t="shared" si="87"/>
        <v>16139983.861968748</v>
      </c>
      <c r="AT50" s="508">
        <f t="shared" si="87"/>
        <v>80699.919309843739</v>
      </c>
      <c r="BY50" s="91"/>
      <c r="BZ50" s="91"/>
      <c r="CA50" s="91"/>
      <c r="CB50" s="91"/>
      <c r="CC50" s="91"/>
      <c r="CD50" s="91"/>
      <c r="CE50" s="91"/>
      <c r="CF50" s="91"/>
      <c r="CG50" s="91"/>
      <c r="CH50" s="91"/>
      <c r="CI50" s="91"/>
      <c r="CJ50" s="91"/>
      <c r="CK50" s="91"/>
      <c r="CL50" s="91"/>
      <c r="CM50" s="91"/>
      <c r="CN50" s="91"/>
      <c r="CO50" s="91"/>
      <c r="CP50" s="91"/>
      <c r="CQ50" s="91"/>
      <c r="CR50" s="91"/>
      <c r="CS50" s="91"/>
      <c r="CT50" s="91"/>
      <c r="CU50" s="91"/>
      <c r="CV50" s="91"/>
      <c r="CW50" s="91"/>
      <c r="CX50" s="91"/>
      <c r="CY50" s="91"/>
      <c r="CZ50" s="91"/>
      <c r="DA50" s="91"/>
      <c r="DB50" s="91"/>
      <c r="DC50" s="91"/>
      <c r="DD50" s="91"/>
      <c r="DE50" s="91"/>
      <c r="DF50" s="91"/>
      <c r="DG50" s="91"/>
      <c r="DH50" s="91"/>
      <c r="DI50" s="91"/>
      <c r="DJ50" s="91"/>
      <c r="DK50" s="91"/>
      <c r="DL50" s="91"/>
      <c r="DM50" s="91"/>
      <c r="DN50" s="91"/>
      <c r="DO50" s="91"/>
      <c r="DP50" s="91"/>
      <c r="DQ50" s="91"/>
      <c r="DR50" s="91"/>
      <c r="DS50" s="91"/>
      <c r="DT50" s="91"/>
      <c r="DU50" s="91"/>
      <c r="DV50" s="91"/>
      <c r="DW50" s="91"/>
      <c r="DX50" s="91"/>
      <c r="DY50" s="91"/>
      <c r="DZ50" s="91"/>
      <c r="EA50" s="91"/>
      <c r="EB50" s="91"/>
      <c r="EC50" s="91"/>
      <c r="ED50" s="91"/>
      <c r="EE50" s="91"/>
      <c r="EF50" s="91"/>
      <c r="EG50" s="91"/>
      <c r="EH50" s="91"/>
      <c r="EI50" s="91"/>
      <c r="EJ50" s="91"/>
      <c r="EK50" s="91"/>
      <c r="EL50" s="91"/>
      <c r="EM50" s="91"/>
      <c r="EN50" s="91"/>
      <c r="EO50" s="91"/>
      <c r="EP50" s="91"/>
      <c r="EQ50" s="91"/>
      <c r="ER50" s="91"/>
      <c r="ES50" s="91"/>
      <c r="ET50" s="91"/>
      <c r="EU50" s="91"/>
      <c r="EV50" s="91"/>
      <c r="EW50" s="91"/>
      <c r="EX50" s="91"/>
      <c r="EY50" s="91"/>
      <c r="EZ50" s="91"/>
      <c r="FA50" s="91"/>
      <c r="FB50" s="91"/>
    </row>
  </sheetData>
  <mergeCells count="55">
    <mergeCell ref="FD15:FG15"/>
    <mergeCell ref="FB3:FB4"/>
    <mergeCell ref="CS3:DC3"/>
    <mergeCell ref="DE3:DN3"/>
    <mergeCell ref="DO3:DY3"/>
    <mergeCell ref="DZ3:EJ3"/>
    <mergeCell ref="EK3:EU3"/>
    <mergeCell ref="EV3:EV4"/>
    <mergeCell ref="EW3:EW4"/>
    <mergeCell ref="EX3:EX4"/>
    <mergeCell ref="EY3:EY4"/>
    <mergeCell ref="EZ3:EZ4"/>
    <mergeCell ref="FA3:FA4"/>
    <mergeCell ref="FE5:FM7"/>
    <mergeCell ref="FE8:FM8"/>
    <mergeCell ref="FE9:FM9"/>
    <mergeCell ref="CH3:CR3"/>
    <mergeCell ref="BJ3:BJ4"/>
    <mergeCell ref="BK3:BK4"/>
    <mergeCell ref="BL3:BL4"/>
    <mergeCell ref="BM3:BM4"/>
    <mergeCell ref="BN3:BN4"/>
    <mergeCell ref="BO3:BO4"/>
    <mergeCell ref="BP3:BP4"/>
    <mergeCell ref="BQ3:BQ4"/>
    <mergeCell ref="BR3:BR4"/>
    <mergeCell ref="BS3:BS4"/>
    <mergeCell ref="BT3:BT4"/>
    <mergeCell ref="BU3:BU4"/>
    <mergeCell ref="AT3:AT4"/>
    <mergeCell ref="AU3:BD3"/>
    <mergeCell ref="BE3:BE4"/>
    <mergeCell ref="BF3:BF4"/>
    <mergeCell ref="BH3:BH4"/>
    <mergeCell ref="AO3:AO4"/>
    <mergeCell ref="AP3:AP4"/>
    <mergeCell ref="AQ3:AQ4"/>
    <mergeCell ref="AR3:AR4"/>
    <mergeCell ref="AS3:AS4"/>
    <mergeCell ref="A1:B1"/>
    <mergeCell ref="FE10:FM10"/>
    <mergeCell ref="A2:I2"/>
    <mergeCell ref="J2:AC2"/>
    <mergeCell ref="DO2:EJ2"/>
    <mergeCell ref="EV2:FB2"/>
    <mergeCell ref="AM3:AN3"/>
    <mergeCell ref="AF2:AR2"/>
    <mergeCell ref="AS2:BG2"/>
    <mergeCell ref="BH2:BT2"/>
    <mergeCell ref="J3:S3"/>
    <mergeCell ref="T3:AC3"/>
    <mergeCell ref="AD3:AE3"/>
    <mergeCell ref="AG3:AH3"/>
    <mergeCell ref="AI3:AJ3"/>
    <mergeCell ref="BI3:BI4"/>
  </mergeCells>
  <phoneticPr fontId="13" type="noConversion"/>
  <conditionalFormatting sqref="AU5:BE12">
    <cfRule type="cellIs" dxfId="229" priority="5" operator="equal">
      <formula>1</formula>
    </cfRule>
    <cfRule type="cellIs" dxfId="228" priority="6" operator="equal">
      <formula>2</formula>
    </cfRule>
    <cfRule type="cellIs" dxfId="227" priority="7" operator="equal">
      <formula>3</formula>
    </cfRule>
    <cfRule type="cellIs" dxfId="226" priority="8" operator="greaterThan">
      <formula>3.5</formula>
    </cfRule>
  </conditionalFormatting>
  <conditionalFormatting sqref="BG5">
    <cfRule type="cellIs" dxfId="225" priority="10" operator="lessThan">
      <formula>0.5</formula>
    </cfRule>
    <cfRule type="cellIs" dxfId="224" priority="11" operator="lessThan">
      <formula>0.5</formula>
    </cfRule>
  </conditionalFormatting>
  <conditionalFormatting sqref="BG5:BG8 BG10:BG17">
    <cfRule type="cellIs" dxfId="223" priority="1" operator="lessThan">
      <formula>0.3</formula>
    </cfRule>
    <cfRule type="cellIs" dxfId="222" priority="2" operator="between">
      <formula>0.3</formula>
      <formula>0.5</formula>
    </cfRule>
    <cfRule type="cellIs" dxfId="221" priority="3" operator="between">
      <formula>0.5</formula>
      <formula>0.6</formula>
    </cfRule>
    <cfRule type="cellIs" dxfId="220" priority="4" operator="greaterThan">
      <formula>0.6</formula>
    </cfRule>
    <cfRule type="cellIs" dxfId="219" priority="9" operator="lessThan">
      <formula>0.5</formula>
    </cfRule>
  </conditionalFormatting>
  <dataValidations count="3">
    <dataValidation type="list" allowBlank="1" showInputMessage="1" showErrorMessage="1" sqref="F16:F17" xr:uid="{B7BFCCA7-034A-41AF-AFC9-BBA7ED048443}">
      <formula1>$H$4:$H$21</formula1>
    </dataValidation>
    <dataValidation type="list" allowBlank="1" showInputMessage="1" showErrorMessage="1" sqref="Y4:AC4" xr:uid="{9D1853B3-1941-4013-8BAE-D7DAD4C7EE0E}">
      <formula1>$I$4:$I$16</formula1>
    </dataValidation>
    <dataValidation type="list" allowBlank="1" showInputMessage="1" showErrorMessage="1" sqref="BH5:BH17" xr:uid="{ED9DFA9A-DD3E-4699-BF3B-F25D9A87FF5D}">
      <formula1>$BX$5:$BX$7</formula1>
    </dataValidation>
  </dataValidations>
  <pageMargins left="0.7" right="0.7" top="0.75" bottom="0.75" header="0.3" footer="0.3"/>
  <headerFooter>
    <oddFooter>&amp;C_x000D_&amp;1#&amp;"Calibri"&amp;8&amp;K000000 INTERNAL. This information is accessible to ADB Management and staff. It may be shared outside ADB with appropriate permission.</oddFooter>
  </headerFooter>
  <drawing r:id="rId1"/>
  <extLst>
    <ext xmlns:x14="http://schemas.microsoft.com/office/spreadsheetml/2009/9/main" uri="{CCE6A557-97BC-4b89-ADB6-D9C93CAAB3DF}">
      <x14:dataValidations xmlns:xm="http://schemas.microsoft.com/office/excel/2006/main" count="19">
        <x14:dataValidation type="list" allowBlank="1" showInputMessage="1" showErrorMessage="1" xr:uid="{96C268A1-FA26-4D7B-B1F3-E6325E053E3A}">
          <x14:formula1>
            <xm:f>'Inflation Adjustments'!$B$3:$BT$3</xm:f>
          </x14:formula1>
          <xm:sqref>AG5:AG11 AG16:AG18</xm:sqref>
        </x14:dataValidation>
        <x14:dataValidation type="list" allowBlank="1" showInputMessage="1" showErrorMessage="1" xr:uid="{71809BD6-68C4-4AB7-A04C-6E09C623770A}">
          <x14:formula1>
            <xm:f>'Condition rating weights'!$C$29:$C$34</xm:f>
          </x14:formula1>
          <xm:sqref>AU5:BF17</xm:sqref>
        </x14:dataValidation>
        <x14:dataValidation type="list" allowBlank="1" showInputMessage="1" showErrorMessage="1" xr:uid="{68B38B2D-BE9E-467C-BE50-6F51287D7DEE}">
          <x14:formula1>
            <xm:f>'AR-Hierarchy '!$K$4:$K$17</xm:f>
          </x14:formula1>
          <xm:sqref>T5:AC17</xm:sqref>
        </x14:dataValidation>
        <x14:dataValidation type="list" allowBlank="1" showInputMessage="1" showErrorMessage="1" xr:uid="{7CBFB661-317A-472B-92DF-423883F26C85}">
          <x14:formula1>
            <xm:f>'AR-Hierarchy '!$H$4:$H$20</xm:f>
          </x14:formula1>
          <xm:sqref>F5:F14</xm:sqref>
        </x14:dataValidation>
        <x14:dataValidation type="list" allowBlank="1" showInputMessage="1" showErrorMessage="1" xr:uid="{5FD1F405-710A-4390-B01B-D9CBE9A49B61}">
          <x14:formula1>
            <xm:f>'AR-Hierarchy '!$I$4:$I$14</xm:f>
          </x14:formula1>
          <xm:sqref>J4:S4</xm:sqref>
        </x14:dataValidation>
        <x14:dataValidation type="list" allowBlank="1" showInputMessage="1" showErrorMessage="1" xr:uid="{768CD932-B6D5-4A55-890F-9EE155ECFD19}">
          <x14:formula1>
            <xm:f>'AR-Hierarchy '!$J$14:$J$21</xm:f>
          </x14:formula1>
          <xm:sqref>K5:K17</xm:sqref>
        </x14:dataValidation>
        <x14:dataValidation type="list" allowBlank="1" showInputMessage="1" showErrorMessage="1" xr:uid="{74E5D2B9-6F06-4680-B6AE-B2A4065B5077}">
          <x14:formula1>
            <xm:f>'AR-Hierarchy '!$J$5:$J$12</xm:f>
          </x14:formula1>
          <xm:sqref>J5:J17</xm:sqref>
        </x14:dataValidation>
        <x14:dataValidation type="list" allowBlank="1" showInputMessage="1" showErrorMessage="1" xr:uid="{ED38CD2D-0917-42AB-80F7-70778F616925}">
          <x14:formula1>
            <xm:f>'AR-Hierarchy '!$J$24:$J$32</xm:f>
          </x14:formula1>
          <xm:sqref>L5:L15</xm:sqref>
        </x14:dataValidation>
        <x14:dataValidation type="list" allowBlank="1" showInputMessage="1" showErrorMessage="1" xr:uid="{B52AED05-6E38-4A31-ABD3-F49761D1D670}">
          <x14:formula1>
            <xm:f>'AR-Hierarchy '!$J$35:$J$41</xm:f>
          </x14:formula1>
          <xm:sqref>M5:M15</xm:sqref>
        </x14:dataValidation>
        <x14:dataValidation type="list" allowBlank="1" showInputMessage="1" showErrorMessage="1" xr:uid="{2AC25555-AF28-42FC-A9A0-A8F6E6FAEAE7}">
          <x14:formula1>
            <xm:f>'AR-Hierarchy '!$J$45:$J$51</xm:f>
          </x14:formula1>
          <xm:sqref>N5:N15</xm:sqref>
        </x14:dataValidation>
        <x14:dataValidation type="list" allowBlank="1" showInputMessage="1" showErrorMessage="1" xr:uid="{90CD85C3-4968-4E95-9F3F-98376C21617E}">
          <x14:formula1>
            <xm:f>'AR-Hierarchy '!$J$54:$J$60</xm:f>
          </x14:formula1>
          <xm:sqref>O5:O15</xm:sqref>
        </x14:dataValidation>
        <x14:dataValidation type="list" allowBlank="1" showInputMessage="1" showErrorMessage="1" xr:uid="{1F3D82E0-E762-47B2-984A-BA4268229BCA}">
          <x14:formula1>
            <xm:f>'AR-Hierarchy '!$J$63:$J$68</xm:f>
          </x14:formula1>
          <xm:sqref>P5:P15</xm:sqref>
        </x14:dataValidation>
        <x14:dataValidation type="list" allowBlank="1" showInputMessage="1" showErrorMessage="1" xr:uid="{383B5EDB-6008-42FC-8B55-A71D9E399D8A}">
          <x14:formula1>
            <xm:f>'AR-Hierarchy '!$J$72:$J$77</xm:f>
          </x14:formula1>
          <xm:sqref>Q5:Q17</xm:sqref>
        </x14:dataValidation>
        <x14:dataValidation type="list" allowBlank="1" showInputMessage="1" showErrorMessage="1" xr:uid="{616DDF4E-CE56-40CD-B9DE-FEAE0D472511}">
          <x14:formula1>
            <xm:f>'AR-Hierarchy '!$J$80:$J$83</xm:f>
          </x14:formula1>
          <xm:sqref>R5:R17</xm:sqref>
        </x14:dataValidation>
        <x14:dataValidation type="list" allowBlank="1" showInputMessage="1" showErrorMessage="1" xr:uid="{D09FE259-0BE9-48C7-9816-DA9257EBDCB6}">
          <x14:formula1>
            <xm:f>'AR-Hierarchy '!$J$86:$J$90</xm:f>
          </x14:formula1>
          <xm:sqref>S5:S15</xm:sqref>
        </x14:dataValidation>
        <x14:dataValidation type="list" allowBlank="1" showInputMessage="1" showErrorMessage="1" xr:uid="{6B99D481-D61D-4529-B4DE-AC4D29C5E2DF}">
          <x14:formula1>
            <xm:f>'AR-Hierarchy '!#REF!</xm:f>
          </x14:formula1>
          <xm:sqref>E5:E14</xm:sqref>
        </x14:dataValidation>
        <x14:dataValidation type="list" allowBlank="1" showInputMessage="1" showErrorMessage="1" xr:uid="{88134705-EC73-436D-935E-FDF4ABAFAB4F}">
          <x14:formula1>
            <xm:f>'AR-Hierarchy '!$D$14:$D$16</xm:f>
          </x14:formula1>
          <xm:sqref>D5:D12</xm:sqref>
        </x14:dataValidation>
        <x14:dataValidation type="list" allowBlank="1" showInputMessage="1" showErrorMessage="1" xr:uid="{068A58B4-2A47-406F-9D69-8E70ED873D4C}">
          <x14:formula1>
            <xm:f>'AR-Hierarchy '!$D$4:$D$33</xm:f>
          </x14:formula1>
          <xm:sqref>D14:D15</xm:sqref>
        </x14:dataValidation>
        <x14:dataValidation type="list" allowBlank="1" showInputMessage="1" showErrorMessage="1" xr:uid="{F2BE4D96-D6C2-41B1-8D71-A0E7630F2942}">
          <x14:formula1>
            <xm:f>'AR-Hierarchy '!$B$4:$B$53</xm:f>
          </x14:formula1>
          <xm:sqref>C5:C14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22A86-F0AF-41C3-B4BE-B84C0F8A6323}">
  <dimension ref="A1:FI50"/>
  <sheetViews>
    <sheetView topLeftCell="AS30" workbookViewId="0">
      <selection activeCell="AV51" sqref="AV51"/>
    </sheetView>
  </sheetViews>
  <sheetFormatPr defaultColWidth="8.81640625" defaultRowHeight="14" x14ac:dyDescent="0.3"/>
  <cols>
    <col min="1" max="71" width="35.6328125" style="91" customWidth="1"/>
    <col min="72" max="73" width="35.6328125" style="290" customWidth="1"/>
    <col min="74" max="76" width="8.81640625" style="91"/>
    <col min="77" max="77" width="16.08984375" style="91" customWidth="1"/>
    <col min="78" max="85" width="8.81640625" style="91"/>
    <col min="86" max="86" width="12.08984375" style="91" customWidth="1"/>
    <col min="87" max="87" width="10.90625" style="91" customWidth="1"/>
    <col min="88" max="88" width="11.81640625" style="91" customWidth="1"/>
    <col min="89" max="89" width="11" style="91" customWidth="1"/>
    <col min="90" max="90" width="11.453125" style="91" customWidth="1"/>
    <col min="91" max="91" width="12.54296875" style="91" bestFit="1" customWidth="1"/>
    <col min="92" max="92" width="11.08984375" style="91" bestFit="1" customWidth="1"/>
    <col min="93" max="93" width="8.81640625" style="91"/>
    <col min="94" max="94" width="10.453125" style="91" customWidth="1"/>
    <col min="95" max="95" width="11.08984375" style="91" bestFit="1" customWidth="1"/>
    <col min="96" max="101" width="12.1796875" style="91" customWidth="1"/>
    <col min="102" max="102" width="11.90625" style="91" customWidth="1"/>
    <col min="103" max="103" width="10.6328125" style="91" customWidth="1"/>
    <col min="104" max="104" width="8.81640625" style="91"/>
    <col min="105" max="105" width="10.81640625" style="91" customWidth="1"/>
    <col min="106" max="106" width="8.81640625" style="91"/>
    <col min="107" max="107" width="12" style="91" customWidth="1"/>
    <col min="108" max="108" width="16.36328125" style="91" customWidth="1"/>
    <col min="109" max="109" width="11.1796875" style="91" customWidth="1"/>
    <col min="110" max="113" width="10.6328125" style="91" customWidth="1"/>
    <col min="114" max="114" width="10" style="91" customWidth="1"/>
    <col min="115" max="115" width="10.90625" style="91" customWidth="1"/>
    <col min="116" max="116" width="9.08984375" style="91" bestFit="1" customWidth="1"/>
    <col min="117" max="117" width="10.81640625" style="91" customWidth="1"/>
    <col min="118" max="118" width="8.81640625" style="91"/>
    <col min="119" max="119" width="11.36328125" style="91" customWidth="1"/>
    <col min="120" max="123" width="10.81640625" style="91" customWidth="1"/>
    <col min="124" max="124" width="8.81640625" style="91" bestFit="1" customWidth="1"/>
    <col min="125" max="125" width="9.08984375" style="91" bestFit="1" customWidth="1"/>
    <col min="126" max="127" width="8.81640625" style="91" bestFit="1" customWidth="1"/>
    <col min="128" max="129" width="8.81640625" style="91" customWidth="1"/>
    <col min="130" max="130" width="11.36328125" style="91" customWidth="1"/>
    <col min="131" max="135" width="10.08984375" style="91" customWidth="1"/>
    <col min="136" max="139" width="8.81640625" style="91"/>
    <col min="140" max="140" width="11.08984375" style="91" bestFit="1" customWidth="1"/>
    <col min="141" max="151" width="11.08984375" style="91" customWidth="1"/>
    <col min="152" max="155" width="11.54296875" style="91" customWidth="1"/>
    <col min="156" max="156" width="11.81640625" style="91" customWidth="1"/>
    <col min="157" max="158" width="12.1796875" style="91" customWidth="1"/>
    <col min="159" max="16384" width="8.81640625" style="91"/>
  </cols>
  <sheetData>
    <row r="1" spans="1:165" ht="29.5" customHeight="1" thickTop="1" x14ac:dyDescent="0.3">
      <c r="A1" s="621" t="s">
        <v>32</v>
      </c>
      <c r="B1" s="622"/>
      <c r="C1" s="288">
        <v>2023</v>
      </c>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row>
    <row r="2" spans="1:165" ht="45.5" customHeight="1" thickBot="1" x14ac:dyDescent="0.35">
      <c r="A2" s="584" t="s">
        <v>1420</v>
      </c>
      <c r="B2" s="585"/>
      <c r="C2" s="585"/>
      <c r="D2" s="585"/>
      <c r="E2" s="585"/>
      <c r="F2" s="585"/>
      <c r="G2" s="585"/>
      <c r="H2" s="585"/>
      <c r="I2" s="649"/>
      <c r="J2" s="584" t="s">
        <v>298</v>
      </c>
      <c r="K2" s="585"/>
      <c r="L2" s="585"/>
      <c r="M2" s="585"/>
      <c r="N2" s="585"/>
      <c r="O2" s="585"/>
      <c r="P2" s="585"/>
      <c r="Q2" s="585"/>
      <c r="R2" s="585"/>
      <c r="S2" s="585"/>
      <c r="T2" s="585"/>
      <c r="U2" s="585"/>
      <c r="V2" s="585"/>
      <c r="W2" s="585"/>
      <c r="X2" s="585"/>
      <c r="Y2" s="585"/>
      <c r="Z2" s="585"/>
      <c r="AA2" s="585"/>
      <c r="AB2" s="585"/>
      <c r="AC2" s="585"/>
      <c r="AD2" s="585"/>
      <c r="AE2" s="586"/>
      <c r="AF2" s="592" t="s">
        <v>267</v>
      </c>
      <c r="AG2" s="593"/>
      <c r="AH2" s="593"/>
      <c r="AI2" s="593"/>
      <c r="AJ2" s="593"/>
      <c r="AK2" s="593"/>
      <c r="AL2" s="593"/>
      <c r="AM2" s="593"/>
      <c r="AN2" s="593"/>
      <c r="AO2" s="593"/>
      <c r="AP2" s="593"/>
      <c r="AQ2" s="593"/>
      <c r="AR2" s="594"/>
      <c r="AS2" s="592" t="s">
        <v>268</v>
      </c>
      <c r="AT2" s="593"/>
      <c r="AU2" s="593"/>
      <c r="AV2" s="593"/>
      <c r="AW2" s="593"/>
      <c r="AX2" s="593"/>
      <c r="AY2" s="593"/>
      <c r="AZ2" s="593"/>
      <c r="BA2" s="593"/>
      <c r="BB2" s="593"/>
      <c r="BC2" s="593"/>
      <c r="BD2" s="593"/>
      <c r="BE2" s="593"/>
      <c r="BF2" s="593"/>
      <c r="BG2" s="593"/>
      <c r="BH2" s="597" t="s">
        <v>312</v>
      </c>
      <c r="BI2" s="598"/>
      <c r="BJ2" s="598"/>
      <c r="BK2" s="598"/>
      <c r="BL2" s="598"/>
      <c r="BM2" s="598"/>
      <c r="BN2" s="598"/>
      <c r="BO2" s="598"/>
      <c r="BP2" s="598"/>
      <c r="BQ2" s="598"/>
      <c r="BR2" s="598"/>
      <c r="BS2" s="598"/>
      <c r="BT2" s="599"/>
      <c r="BU2" s="291"/>
      <c r="DO2" s="589" t="s">
        <v>828</v>
      </c>
      <c r="DP2" s="589"/>
      <c r="DQ2" s="589"/>
      <c r="DR2" s="589"/>
      <c r="DS2" s="589"/>
      <c r="DT2" s="589"/>
      <c r="DU2" s="589"/>
      <c r="DV2" s="589"/>
      <c r="DW2" s="589"/>
      <c r="DX2" s="589"/>
      <c r="DY2" s="589"/>
      <c r="DZ2" s="589"/>
      <c r="EA2" s="589"/>
      <c r="EB2" s="589"/>
      <c r="EC2" s="589"/>
      <c r="ED2" s="589"/>
      <c r="EE2" s="589"/>
      <c r="EF2" s="589"/>
      <c r="EG2" s="589"/>
      <c r="EH2" s="589"/>
      <c r="EI2" s="589"/>
      <c r="EJ2" s="589"/>
      <c r="EK2" s="93"/>
      <c r="EL2" s="93"/>
      <c r="EM2" s="93"/>
      <c r="EN2" s="93"/>
      <c r="EO2" s="93"/>
      <c r="EP2" s="93"/>
      <c r="EQ2" s="93"/>
      <c r="ER2" s="93"/>
      <c r="ES2" s="93"/>
      <c r="ET2" s="93"/>
      <c r="EU2" s="93"/>
      <c r="EV2" s="590" t="s">
        <v>829</v>
      </c>
      <c r="EW2" s="590"/>
      <c r="EX2" s="590"/>
      <c r="EY2" s="590"/>
      <c r="EZ2" s="590"/>
      <c r="FA2" s="590"/>
      <c r="FB2" s="590"/>
    </row>
    <row r="3" spans="1:165" ht="14.5" thickTop="1" x14ac:dyDescent="0.3">
      <c r="A3" s="293" t="s">
        <v>0</v>
      </c>
      <c r="B3" s="294" t="s">
        <v>34</v>
      </c>
      <c r="C3" s="294" t="s">
        <v>250</v>
      </c>
      <c r="D3" s="294" t="s">
        <v>251</v>
      </c>
      <c r="E3" s="294" t="s">
        <v>1</v>
      </c>
      <c r="F3" s="294" t="s">
        <v>2</v>
      </c>
      <c r="G3" s="294" t="s">
        <v>252</v>
      </c>
      <c r="H3" s="294" t="s">
        <v>30</v>
      </c>
      <c r="I3" s="294" t="s">
        <v>31</v>
      </c>
      <c r="J3" s="616" t="s">
        <v>253</v>
      </c>
      <c r="K3" s="625"/>
      <c r="L3" s="625"/>
      <c r="M3" s="625"/>
      <c r="N3" s="625"/>
      <c r="O3" s="625"/>
      <c r="P3" s="625"/>
      <c r="Q3" s="625"/>
      <c r="R3" s="625"/>
      <c r="S3" s="626"/>
      <c r="T3" s="616" t="s">
        <v>254</v>
      </c>
      <c r="U3" s="625"/>
      <c r="V3" s="625"/>
      <c r="W3" s="625"/>
      <c r="X3" s="625"/>
      <c r="Y3" s="625"/>
      <c r="Z3" s="625"/>
      <c r="AA3" s="625"/>
      <c r="AB3" s="625"/>
      <c r="AC3" s="626"/>
      <c r="AD3" s="616" t="s">
        <v>255</v>
      </c>
      <c r="AE3" s="626"/>
      <c r="AF3" s="294" t="s">
        <v>259</v>
      </c>
      <c r="AG3" s="603" t="s">
        <v>38</v>
      </c>
      <c r="AH3" s="604"/>
      <c r="AI3" s="603" t="s">
        <v>261</v>
      </c>
      <c r="AJ3" s="591"/>
      <c r="AK3" s="296"/>
      <c r="AL3" s="296"/>
      <c r="AM3" s="591" t="s">
        <v>262</v>
      </c>
      <c r="AN3" s="591"/>
      <c r="AO3" s="591" t="s">
        <v>263</v>
      </c>
      <c r="AP3" s="591" t="s">
        <v>326</v>
      </c>
      <c r="AQ3" s="604" t="s">
        <v>33</v>
      </c>
      <c r="AR3" s="609" t="s">
        <v>264</v>
      </c>
      <c r="AS3" s="609" t="s">
        <v>265</v>
      </c>
      <c r="AT3" s="609" t="s">
        <v>266</v>
      </c>
      <c r="AU3" s="603" t="s">
        <v>53</v>
      </c>
      <c r="AV3" s="591"/>
      <c r="AW3" s="591"/>
      <c r="AX3" s="591"/>
      <c r="AY3" s="591"/>
      <c r="AZ3" s="591"/>
      <c r="BA3" s="591"/>
      <c r="BB3" s="591"/>
      <c r="BC3" s="591"/>
      <c r="BD3" s="604"/>
      <c r="BE3" s="609" t="s">
        <v>1581</v>
      </c>
      <c r="BF3" s="609"/>
      <c r="BG3" s="295" t="s">
        <v>1442</v>
      </c>
      <c r="BH3" s="605" t="s">
        <v>299</v>
      </c>
      <c r="BI3" s="605" t="s">
        <v>300</v>
      </c>
      <c r="BJ3" s="605" t="s">
        <v>301</v>
      </c>
      <c r="BK3" s="605" t="s">
        <v>302</v>
      </c>
      <c r="BL3" s="605" t="s">
        <v>303</v>
      </c>
      <c r="BM3" s="605" t="s">
        <v>304</v>
      </c>
      <c r="BN3" s="605" t="s">
        <v>305</v>
      </c>
      <c r="BO3" s="605" t="s">
        <v>306</v>
      </c>
      <c r="BP3" s="605" t="s">
        <v>307</v>
      </c>
      <c r="BQ3" s="605" t="s">
        <v>308</v>
      </c>
      <c r="BR3" s="605" t="s">
        <v>309</v>
      </c>
      <c r="BS3" s="605" t="s">
        <v>310</v>
      </c>
      <c r="BT3" s="616" t="s">
        <v>311</v>
      </c>
      <c r="BU3" s="617" t="s">
        <v>1428</v>
      </c>
      <c r="CA3" s="299" t="s">
        <v>809</v>
      </c>
      <c r="CH3" s="590" t="s">
        <v>816</v>
      </c>
      <c r="CI3" s="590"/>
      <c r="CJ3" s="590"/>
      <c r="CK3" s="590"/>
      <c r="CL3" s="590"/>
      <c r="CM3" s="590"/>
      <c r="CN3" s="590"/>
      <c r="CO3" s="590"/>
      <c r="CP3" s="590"/>
      <c r="CQ3" s="590"/>
      <c r="CR3" s="590"/>
      <c r="CS3" s="620" t="s">
        <v>262</v>
      </c>
      <c r="CT3" s="620"/>
      <c r="CU3" s="620"/>
      <c r="CV3" s="620"/>
      <c r="CW3" s="620"/>
      <c r="CX3" s="620"/>
      <c r="CY3" s="620"/>
      <c r="CZ3" s="620"/>
      <c r="DA3" s="620"/>
      <c r="DB3" s="620"/>
      <c r="DC3" s="620"/>
      <c r="DD3" s="292"/>
      <c r="DE3" s="590" t="s">
        <v>825</v>
      </c>
      <c r="DF3" s="590"/>
      <c r="DG3" s="590"/>
      <c r="DH3" s="590"/>
      <c r="DI3" s="590"/>
      <c r="DJ3" s="590"/>
      <c r="DK3" s="590"/>
      <c r="DL3" s="590"/>
      <c r="DM3" s="590"/>
      <c r="DN3" s="590"/>
      <c r="DO3" s="620" t="s">
        <v>827</v>
      </c>
      <c r="DP3" s="620"/>
      <c r="DQ3" s="620"/>
      <c r="DR3" s="620"/>
      <c r="DS3" s="620"/>
      <c r="DT3" s="620"/>
      <c r="DU3" s="620"/>
      <c r="DV3" s="620"/>
      <c r="DW3" s="620"/>
      <c r="DX3" s="620"/>
      <c r="DY3" s="620"/>
      <c r="DZ3" s="590" t="s">
        <v>826</v>
      </c>
      <c r="EA3" s="590"/>
      <c r="EB3" s="590"/>
      <c r="EC3" s="590"/>
      <c r="ED3" s="590"/>
      <c r="EE3" s="590"/>
      <c r="EF3" s="590"/>
      <c r="EG3" s="590"/>
      <c r="EH3" s="590"/>
      <c r="EI3" s="590"/>
      <c r="EJ3" s="590"/>
      <c r="EK3" s="620" t="s">
        <v>833</v>
      </c>
      <c r="EL3" s="620"/>
      <c r="EM3" s="620"/>
      <c r="EN3" s="620"/>
      <c r="EO3" s="620"/>
      <c r="EP3" s="620"/>
      <c r="EQ3" s="620"/>
      <c r="ER3" s="620"/>
      <c r="ES3" s="620"/>
      <c r="ET3" s="620"/>
      <c r="EU3" s="620"/>
      <c r="EV3" s="619" t="s">
        <v>1026</v>
      </c>
      <c r="EW3" s="619" t="s">
        <v>1022</v>
      </c>
      <c r="EX3" s="619" t="s">
        <v>1023</v>
      </c>
      <c r="EY3" s="619" t="s">
        <v>1027</v>
      </c>
      <c r="EZ3" s="619" t="s">
        <v>1024</v>
      </c>
      <c r="FA3" s="619" t="s">
        <v>1025</v>
      </c>
      <c r="FB3" s="619" t="s">
        <v>33</v>
      </c>
    </row>
    <row r="4" spans="1:165" ht="57.5" customHeight="1" thickBot="1" x14ac:dyDescent="0.35">
      <c r="A4" s="300"/>
      <c r="B4" s="301"/>
      <c r="C4" s="302"/>
      <c r="D4" s="302"/>
      <c r="E4" s="302"/>
      <c r="F4" s="302"/>
      <c r="G4" s="302"/>
      <c r="H4" s="302"/>
      <c r="I4" s="302"/>
      <c r="J4" s="302" t="s">
        <v>105</v>
      </c>
      <c r="K4" s="302" t="s">
        <v>106</v>
      </c>
      <c r="L4" s="302" t="s">
        <v>107</v>
      </c>
      <c r="M4" s="302" t="s">
        <v>108</v>
      </c>
      <c r="N4" s="302" t="s">
        <v>109</v>
      </c>
      <c r="O4" s="302" t="s">
        <v>120</v>
      </c>
      <c r="P4" s="302" t="s">
        <v>111</v>
      </c>
      <c r="Q4" s="302" t="s">
        <v>112</v>
      </c>
      <c r="R4" s="302" t="s">
        <v>113</v>
      </c>
      <c r="S4" s="302" t="s">
        <v>110</v>
      </c>
      <c r="T4" s="302" t="s">
        <v>935</v>
      </c>
      <c r="U4" s="302" t="s">
        <v>936</v>
      </c>
      <c r="V4" s="302" t="s">
        <v>937</v>
      </c>
      <c r="W4" s="302" t="s">
        <v>938</v>
      </c>
      <c r="X4" s="302" t="s">
        <v>939</v>
      </c>
      <c r="Y4" s="302" t="s">
        <v>120</v>
      </c>
      <c r="Z4" s="302" t="s">
        <v>111</v>
      </c>
      <c r="AA4" s="302" t="s">
        <v>112</v>
      </c>
      <c r="AB4" s="302" t="s">
        <v>113</v>
      </c>
      <c r="AC4" s="302" t="s">
        <v>110</v>
      </c>
      <c r="AD4" s="302" t="s">
        <v>256</v>
      </c>
      <c r="AE4" s="302" t="s">
        <v>257</v>
      </c>
      <c r="AF4" s="302"/>
      <c r="AG4" s="302" t="s">
        <v>38</v>
      </c>
      <c r="AH4" s="302" t="s">
        <v>260</v>
      </c>
      <c r="AI4" s="302" t="s">
        <v>261</v>
      </c>
      <c r="AJ4" s="302" t="s">
        <v>260</v>
      </c>
      <c r="AK4" s="302" t="s">
        <v>715</v>
      </c>
      <c r="AL4" s="302" t="s">
        <v>716</v>
      </c>
      <c r="AM4" s="302" t="s">
        <v>262</v>
      </c>
      <c r="AN4" s="302" t="s">
        <v>260</v>
      </c>
      <c r="AO4" s="647"/>
      <c r="AP4" s="647"/>
      <c r="AQ4" s="648"/>
      <c r="AR4" s="629"/>
      <c r="AS4" s="629"/>
      <c r="AT4" s="610"/>
      <c r="AU4" s="302" t="s">
        <v>164</v>
      </c>
      <c r="AV4" s="302" t="s">
        <v>36</v>
      </c>
      <c r="AW4" s="302" t="s">
        <v>5</v>
      </c>
      <c r="AX4" s="302" t="s">
        <v>3</v>
      </c>
      <c r="AY4" s="302" t="s">
        <v>165</v>
      </c>
      <c r="AZ4" s="302" t="s">
        <v>166</v>
      </c>
      <c r="BA4" s="302" t="s">
        <v>1578</v>
      </c>
      <c r="BB4" s="302"/>
      <c r="BC4" s="302"/>
      <c r="BD4" s="302"/>
      <c r="BE4" s="610"/>
      <c r="BF4" s="610"/>
      <c r="BG4" s="345" t="s">
        <v>37</v>
      </c>
      <c r="BH4" s="606"/>
      <c r="BI4" s="606"/>
      <c r="BJ4" s="606"/>
      <c r="BK4" s="606"/>
      <c r="BL4" s="606"/>
      <c r="BM4" s="606"/>
      <c r="BN4" s="606"/>
      <c r="BO4" s="606"/>
      <c r="BP4" s="606"/>
      <c r="BQ4" s="606"/>
      <c r="BR4" s="606"/>
      <c r="BS4" s="606"/>
      <c r="BT4" s="592"/>
      <c r="BU4" s="618"/>
      <c r="BY4" s="305"/>
      <c r="BZ4" s="306" t="str">
        <f>'AR-Hierarchy '!K4</f>
        <v>Basic Design</v>
      </c>
      <c r="CA4" s="306" t="str">
        <f>'AR-Hierarchy '!K5</f>
        <v>Standard Design</v>
      </c>
      <c r="CB4" s="306" t="str">
        <f>'AR-Hierarchy '!K6</f>
        <v xml:space="preserve">Superior Design </v>
      </c>
      <c r="CC4" s="306" t="str">
        <f>'AR-Hierarchy '!K7</f>
        <v>None</v>
      </c>
      <c r="CD4" s="306" t="str">
        <f>BZ4</f>
        <v>Basic Design</v>
      </c>
      <c r="CE4" s="306" t="str">
        <f>CA4</f>
        <v>Standard Design</v>
      </c>
      <c r="CF4" s="306" t="str">
        <f>CB4</f>
        <v xml:space="preserve">Superior Design </v>
      </c>
      <c r="CG4" s="305" t="s">
        <v>117</v>
      </c>
      <c r="CH4" s="307" t="str">
        <f>BY5</f>
        <v>Substructure</v>
      </c>
      <c r="CI4" s="308" t="str">
        <f>BY6</f>
        <v>Structure</v>
      </c>
      <c r="CJ4" s="308" t="str">
        <f>BY7</f>
        <v>Roofing</v>
      </c>
      <c r="CK4" s="307" t="str">
        <f>BY8</f>
        <v>Exterior Wall Cladding</v>
      </c>
      <c r="CL4" s="308" t="str">
        <f>BY9</f>
        <v>Fitouts</v>
      </c>
      <c r="CM4" s="309" t="str">
        <f>BY10</f>
        <v>Floor Covering</v>
      </c>
      <c r="CN4" s="310" t="str">
        <f>BY11</f>
        <v>Service Mechanical</v>
      </c>
      <c r="CO4" s="310" t="str">
        <f>BY12</f>
        <v>Services Electrical</v>
      </c>
      <c r="CP4" s="310" t="str">
        <f>BY13</f>
        <v>Services Sanitation</v>
      </c>
      <c r="CQ4" s="310" t="str">
        <f>BY14</f>
        <v>Services Water</v>
      </c>
      <c r="CR4" s="310" t="s">
        <v>823</v>
      </c>
      <c r="CS4" s="306" t="str">
        <f>CH4</f>
        <v>Substructure</v>
      </c>
      <c r="CT4" s="306" t="str">
        <f t="shared" ref="CT4:DB4" si="0">CI4</f>
        <v>Structure</v>
      </c>
      <c r="CU4" s="306" t="str">
        <f t="shared" si="0"/>
        <v>Roofing</v>
      </c>
      <c r="CV4" s="306" t="str">
        <f t="shared" si="0"/>
        <v>Exterior Wall Cladding</v>
      </c>
      <c r="CW4" s="306" t="str">
        <f t="shared" si="0"/>
        <v>Fitouts</v>
      </c>
      <c r="CX4" s="306" t="str">
        <f t="shared" si="0"/>
        <v>Floor Covering</v>
      </c>
      <c r="CY4" s="306" t="str">
        <f t="shared" si="0"/>
        <v>Service Mechanical</v>
      </c>
      <c r="CZ4" s="306" t="str">
        <f t="shared" si="0"/>
        <v>Services Electrical</v>
      </c>
      <c r="DA4" s="306" t="str">
        <f t="shared" si="0"/>
        <v>Services Sanitation</v>
      </c>
      <c r="DB4" s="306" t="str">
        <f t="shared" si="0"/>
        <v>Services Water</v>
      </c>
      <c r="DC4" s="306" t="s">
        <v>824</v>
      </c>
      <c r="DD4" s="307" t="s">
        <v>1028</v>
      </c>
      <c r="DE4" s="307" t="str">
        <f>CS4</f>
        <v>Substructure</v>
      </c>
      <c r="DF4" s="307" t="str">
        <f t="shared" ref="DF4:DN4" si="1">CT4</f>
        <v>Structure</v>
      </c>
      <c r="DG4" s="307" t="str">
        <f t="shared" si="1"/>
        <v>Roofing</v>
      </c>
      <c r="DH4" s="307" t="str">
        <f t="shared" si="1"/>
        <v>Exterior Wall Cladding</v>
      </c>
      <c r="DI4" s="307" t="str">
        <f t="shared" si="1"/>
        <v>Fitouts</v>
      </c>
      <c r="DJ4" s="307" t="str">
        <f t="shared" si="1"/>
        <v>Floor Covering</v>
      </c>
      <c r="DK4" s="307" t="str">
        <f t="shared" si="1"/>
        <v>Service Mechanical</v>
      </c>
      <c r="DL4" s="307" t="str">
        <f t="shared" si="1"/>
        <v>Services Electrical</v>
      </c>
      <c r="DM4" s="307" t="str">
        <f t="shared" si="1"/>
        <v>Services Sanitation</v>
      </c>
      <c r="DN4" s="307" t="str">
        <f t="shared" si="1"/>
        <v>Services Water</v>
      </c>
      <c r="DO4" s="311" t="str">
        <f>DE4</f>
        <v>Substructure</v>
      </c>
      <c r="DP4" s="311" t="str">
        <f t="shared" ref="DP4:DX4" si="2">DF4</f>
        <v>Structure</v>
      </c>
      <c r="DQ4" s="311" t="str">
        <f t="shared" si="2"/>
        <v>Roofing</v>
      </c>
      <c r="DR4" s="311" t="str">
        <f t="shared" si="2"/>
        <v>Exterior Wall Cladding</v>
      </c>
      <c r="DS4" s="311" t="str">
        <f t="shared" si="2"/>
        <v>Fitouts</v>
      </c>
      <c r="DT4" s="311" t="str">
        <f t="shared" si="2"/>
        <v>Floor Covering</v>
      </c>
      <c r="DU4" s="311" t="str">
        <f t="shared" si="2"/>
        <v>Service Mechanical</v>
      </c>
      <c r="DV4" s="311" t="str">
        <f t="shared" si="2"/>
        <v>Services Electrical</v>
      </c>
      <c r="DW4" s="311" t="str">
        <f t="shared" si="2"/>
        <v>Services Sanitation</v>
      </c>
      <c r="DX4" s="311" t="str">
        <f t="shared" si="2"/>
        <v>Services Water</v>
      </c>
      <c r="DY4" s="311" t="s">
        <v>1021</v>
      </c>
      <c r="DZ4" s="310" t="str">
        <f>DO4</f>
        <v>Substructure</v>
      </c>
      <c r="EA4" s="310" t="str">
        <f t="shared" ref="EA4:EI4" si="3">DP4</f>
        <v>Structure</v>
      </c>
      <c r="EB4" s="310" t="str">
        <f t="shared" si="3"/>
        <v>Roofing</v>
      </c>
      <c r="EC4" s="310" t="str">
        <f t="shared" si="3"/>
        <v>Exterior Wall Cladding</v>
      </c>
      <c r="ED4" s="310" t="str">
        <f t="shared" si="3"/>
        <v>Fitouts</v>
      </c>
      <c r="EE4" s="310" t="str">
        <f t="shared" si="3"/>
        <v>Floor Covering</v>
      </c>
      <c r="EF4" s="310" t="str">
        <f t="shared" si="3"/>
        <v>Service Mechanical</v>
      </c>
      <c r="EG4" s="310" t="str">
        <f t="shared" si="3"/>
        <v>Services Electrical</v>
      </c>
      <c r="EH4" s="310" t="str">
        <f t="shared" si="3"/>
        <v>Services Sanitation</v>
      </c>
      <c r="EI4" s="310" t="str">
        <f t="shared" si="3"/>
        <v>Services Water</v>
      </c>
      <c r="EJ4" s="310" t="s">
        <v>1021</v>
      </c>
      <c r="EK4" s="311" t="str">
        <f>DZ4</f>
        <v>Substructure</v>
      </c>
      <c r="EL4" s="311" t="str">
        <f t="shared" ref="EL4:ET4" si="4">EA4</f>
        <v>Structure</v>
      </c>
      <c r="EM4" s="311" t="str">
        <f t="shared" si="4"/>
        <v>Roofing</v>
      </c>
      <c r="EN4" s="311" t="str">
        <f t="shared" si="4"/>
        <v>Exterior Wall Cladding</v>
      </c>
      <c r="EO4" s="311" t="str">
        <f t="shared" si="4"/>
        <v>Fitouts</v>
      </c>
      <c r="EP4" s="311" t="str">
        <f t="shared" si="4"/>
        <v>Floor Covering</v>
      </c>
      <c r="EQ4" s="311" t="str">
        <f t="shared" si="4"/>
        <v>Service Mechanical</v>
      </c>
      <c r="ER4" s="311" t="str">
        <f t="shared" si="4"/>
        <v>Services Electrical</v>
      </c>
      <c r="ES4" s="311" t="str">
        <f t="shared" si="4"/>
        <v>Services Sanitation</v>
      </c>
      <c r="ET4" s="311" t="str">
        <f t="shared" si="4"/>
        <v>Services Water</v>
      </c>
      <c r="EU4" s="311" t="s">
        <v>52</v>
      </c>
      <c r="EV4" s="619"/>
      <c r="EW4" s="619"/>
      <c r="EX4" s="619"/>
      <c r="EY4" s="619"/>
      <c r="EZ4" s="619"/>
      <c r="FA4" s="619"/>
      <c r="FB4" s="619"/>
    </row>
    <row r="5" spans="1:165" ht="66.5" customHeight="1" thickTop="1" thickBot="1" x14ac:dyDescent="0.35">
      <c r="A5" s="312" t="s">
        <v>1770</v>
      </c>
      <c r="B5" s="313" t="s">
        <v>1702</v>
      </c>
      <c r="C5" s="313" t="s">
        <v>1685</v>
      </c>
      <c r="D5" s="313" t="s">
        <v>1688</v>
      </c>
      <c r="E5" s="313" t="s">
        <v>8</v>
      </c>
      <c r="F5" s="313" t="s">
        <v>1686</v>
      </c>
      <c r="G5" s="313" t="s">
        <v>1687</v>
      </c>
      <c r="H5" s="313" t="s">
        <v>1689</v>
      </c>
      <c r="I5" s="313" t="s">
        <v>1690</v>
      </c>
      <c r="J5" s="313" t="s">
        <v>1691</v>
      </c>
      <c r="K5" s="313" t="s">
        <v>1692</v>
      </c>
      <c r="L5" s="313" t="s">
        <v>1055</v>
      </c>
      <c r="M5" s="313" t="s">
        <v>1062</v>
      </c>
      <c r="N5" s="313" t="s">
        <v>1069</v>
      </c>
      <c r="O5" s="313" t="s">
        <v>1072</v>
      </c>
      <c r="P5" s="313" t="s">
        <v>1078</v>
      </c>
      <c r="Q5" s="313" t="s">
        <v>1080</v>
      </c>
      <c r="R5" s="313" t="s">
        <v>1086</v>
      </c>
      <c r="S5" s="313" t="s">
        <v>1088</v>
      </c>
      <c r="T5" s="313" t="s">
        <v>102</v>
      </c>
      <c r="U5" s="313" t="s">
        <v>102</v>
      </c>
      <c r="V5" s="313" t="s">
        <v>102</v>
      </c>
      <c r="W5" s="313" t="s">
        <v>102</v>
      </c>
      <c r="X5" s="313" t="s">
        <v>102</v>
      </c>
      <c r="Y5" s="313" t="s">
        <v>102</v>
      </c>
      <c r="Z5" s="313" t="s">
        <v>102</v>
      </c>
      <c r="AA5" s="313" t="s">
        <v>102</v>
      </c>
      <c r="AB5" s="313" t="s">
        <v>102</v>
      </c>
      <c r="AC5" s="313" t="s">
        <v>102</v>
      </c>
      <c r="AD5" s="313" t="s">
        <v>1771</v>
      </c>
      <c r="AE5" s="313">
        <f>15*8+2*15*6</f>
        <v>300</v>
      </c>
      <c r="AF5" s="313">
        <f>'GRC and TUL Assumptions'!F5</f>
        <v>40</v>
      </c>
      <c r="AG5" s="314">
        <v>2021</v>
      </c>
      <c r="AH5" s="313" t="s">
        <v>800</v>
      </c>
      <c r="AI5" s="313">
        <v>2021</v>
      </c>
      <c r="AJ5" s="313" t="str">
        <f>AH5</f>
        <v>Estimated</v>
      </c>
      <c r="AK5" s="313"/>
      <c r="AL5" s="313"/>
      <c r="AM5" s="315">
        <f>DC5+EW5</f>
        <v>518096.25</v>
      </c>
      <c r="AN5" s="315" t="s">
        <v>800</v>
      </c>
      <c r="AO5" s="509">
        <f>EJ5+FA5</f>
        <v>22687.875</v>
      </c>
      <c r="AP5" s="509">
        <f>AM5-AO5</f>
        <v>495408.375</v>
      </c>
      <c r="AQ5" s="509">
        <f>EU5+FB5</f>
        <v>22687.875</v>
      </c>
      <c r="AR5" s="509">
        <f>AP5-AQ5</f>
        <v>472720.5</v>
      </c>
      <c r="AS5" s="509">
        <f>HLOOKUP($C$1,'Inflation Adjustments'!$BI$3:$BT$4,2)*CR5</f>
        <v>685182.29062499991</v>
      </c>
      <c r="AT5" s="317">
        <f>IF(BU5="In Service",'Maintenace Cost Assumptions'!$B$3*AS5,0)</f>
        <v>3425.9114531249998</v>
      </c>
      <c r="AU5" s="318">
        <v>4</v>
      </c>
      <c r="AV5" s="318">
        <v>4</v>
      </c>
      <c r="AW5" s="318">
        <v>5</v>
      </c>
      <c r="AX5" s="318">
        <v>5</v>
      </c>
      <c r="AY5" s="318">
        <v>4</v>
      </c>
      <c r="AZ5" s="318">
        <v>4</v>
      </c>
      <c r="BA5" s="318">
        <v>4</v>
      </c>
      <c r="BB5" s="313"/>
      <c r="BC5" s="313"/>
      <c r="BD5" s="313"/>
      <c r="BE5" s="318">
        <v>4</v>
      </c>
      <c r="BF5" s="313"/>
      <c r="BG5" s="319">
        <f>(AU5*'Condition rating weights'!H$8+AV5*'Condition rating weights'!I$8+AW5*'Condition rating weights'!J$8+AX5*'Condition rating weights'!K$8+AY5*'Condition rating weights'!L$8+AZ5*'Condition rating weights'!M$8+BA5*'Condition rating weights'!N$8+BB5*'Condition rating weights'!O$8+BC5*'Condition rating weights'!P$8+BD5*'Condition rating weights'!Q$8+BE5*'Condition rating weights'!R$8+BF5*'Condition rating weights'!S$8)/100</f>
        <v>0.82</v>
      </c>
      <c r="BH5" s="320">
        <v>2</v>
      </c>
      <c r="BI5" s="320">
        <v>121</v>
      </c>
      <c r="BJ5" s="320" t="s">
        <v>12</v>
      </c>
      <c r="BK5" s="320" t="s">
        <v>959</v>
      </c>
      <c r="BL5" s="320" t="s">
        <v>960</v>
      </c>
      <c r="BM5" s="320" t="s">
        <v>961</v>
      </c>
      <c r="BN5" s="320" t="s">
        <v>117</v>
      </c>
      <c r="BO5" s="320" t="s">
        <v>962</v>
      </c>
      <c r="BP5" s="320" t="s">
        <v>962</v>
      </c>
      <c r="BQ5" s="320" t="s">
        <v>963</v>
      </c>
      <c r="BR5" s="320" t="s">
        <v>964</v>
      </c>
      <c r="BS5" s="320" t="s">
        <v>964</v>
      </c>
      <c r="BT5" s="321" t="s">
        <v>965</v>
      </c>
      <c r="BU5" s="387" t="s">
        <v>1430</v>
      </c>
      <c r="BV5" s="346"/>
      <c r="BY5" s="306" t="str">
        <f>'GRC and TUL Assumptions'!A5</f>
        <v>Substructure</v>
      </c>
      <c r="BZ5" s="305">
        <f>'GRC and TUL Assumptions'!C5</f>
        <v>150</v>
      </c>
      <c r="CA5" s="305">
        <f>'GRC and TUL Assumptions'!D5</f>
        <v>200</v>
      </c>
      <c r="CB5" s="305">
        <f>'GRC and TUL Assumptions'!E5</f>
        <v>300</v>
      </c>
      <c r="CC5" s="305">
        <v>0</v>
      </c>
      <c r="CD5" s="305">
        <f>'GRC and TUL Assumptions'!F5</f>
        <v>40</v>
      </c>
      <c r="CE5" s="305">
        <f>'GRC and TUL Assumptions'!G5</f>
        <v>60</v>
      </c>
      <c r="CF5" s="305">
        <f>'GRC and TUL Assumptions'!H5</f>
        <v>60</v>
      </c>
      <c r="CG5" s="305">
        <f>CD5</f>
        <v>40</v>
      </c>
      <c r="CH5" s="323">
        <f t="shared" ref="CH5:CH20" si="5">(HLOOKUP(T5,$BZ$4:$CC$14,2,TRUE))*$AE5</f>
        <v>45000</v>
      </c>
      <c r="CI5" s="323">
        <f t="shared" ref="CI5:CI20" si="6">(HLOOKUP(U5,$BZ$4:$CD$14,3,TRUE))*$AE5</f>
        <v>150000</v>
      </c>
      <c r="CJ5" s="323">
        <f t="shared" ref="CJ5:CJ20" si="7">(HLOOKUP(V5,$BZ$4:$CD$14,4,TRUE))*$AE5</f>
        <v>30000</v>
      </c>
      <c r="CK5" s="323">
        <f t="shared" ref="CK5:CK20" si="8">(HLOOKUP(W5,$BZ$4:$CD$14,5,FALSE))*$AE5</f>
        <v>45000</v>
      </c>
      <c r="CL5" s="323">
        <f t="shared" ref="CL5:CL20" si="9">(HLOOKUP(X5,$BZ$4:$CD$14,6,FALSE))*$AE5</f>
        <v>75000</v>
      </c>
      <c r="CM5" s="323">
        <f t="shared" ref="CM5:CM20" si="10">(HLOOKUP(Y5,$BZ$4:$CD$14,7,FALSE))*$AE5</f>
        <v>30000</v>
      </c>
      <c r="CN5" s="323">
        <f t="shared" ref="CN5:CN20" si="11">(HLOOKUP(Z5,$BZ$4:$CD$14,8,FALSE))*$AE5</f>
        <v>24000</v>
      </c>
      <c r="CO5" s="323">
        <f t="shared" ref="CO5:CO20" si="12">(HLOOKUP(AA5,$BZ$4:$CD$14,9,FALSE))*$AE5</f>
        <v>24000</v>
      </c>
      <c r="CP5" s="323">
        <f t="shared" ref="CP5:CP20" si="13">(HLOOKUP(AB5,$BZ$4:$CD$14,10,FALSE))*$AE5</f>
        <v>30000</v>
      </c>
      <c r="CQ5" s="323">
        <f t="shared" ref="CQ5:CQ20" si="14">(HLOOKUP(AC5,$BZ$4:$CD$14,11,FALSE))*$AE5</f>
        <v>6000</v>
      </c>
      <c r="CR5" s="324">
        <f>SUM(CH5:CQ5)</f>
        <v>459000</v>
      </c>
      <c r="CS5" s="325">
        <f>(HLOOKUP($AI5,'Inflation Adjustments'!$M$3:$BT$4,2,TRUE))*CH5</f>
        <v>50793.75</v>
      </c>
      <c r="CT5" s="325">
        <f>(HLOOKUP($AI5,'Inflation Adjustments'!$M$3:$BT$4,2,TRUE))*CI5</f>
        <v>169312.5</v>
      </c>
      <c r="CU5" s="325">
        <f>(HLOOKUP($AI5,'Inflation Adjustments'!$M$3:$BT$4,2,TRUE))*CJ5</f>
        <v>33862.5</v>
      </c>
      <c r="CV5" s="325">
        <f>(HLOOKUP($AI5,'Inflation Adjustments'!$M$3:$BT$4,2,TRUE))*CK5</f>
        <v>50793.75</v>
      </c>
      <c r="CW5" s="325">
        <f>(HLOOKUP($AI5,'Inflation Adjustments'!$M$3:$BT$4,2,TRUE))*CL5</f>
        <v>84656.25</v>
      </c>
      <c r="CX5" s="325">
        <f>(HLOOKUP($AI5,'Inflation Adjustments'!$M$3:$BT$4,2,TRUE))*CM5</f>
        <v>33862.5</v>
      </c>
      <c r="CY5" s="325">
        <f>(HLOOKUP($AI5,'Inflation Adjustments'!$M$3:$BT$4,2,TRUE))*CN5</f>
        <v>27089.999999999996</v>
      </c>
      <c r="CZ5" s="325">
        <f>(HLOOKUP($AI5,'Inflation Adjustments'!$M$3:$BT$4,2,TRUE))*CO5</f>
        <v>27089.999999999996</v>
      </c>
      <c r="DA5" s="325">
        <f>(HLOOKUP($AI5,'Inflation Adjustments'!$M$3:$BT$4,2,TRUE))*CP5</f>
        <v>33862.5</v>
      </c>
      <c r="DB5" s="325">
        <f>(HLOOKUP($AI5,'Inflation Adjustments'!$M$3:$BT$4,2,TRUE))*CQ5</f>
        <v>6772.4999999999991</v>
      </c>
      <c r="DC5" s="325">
        <f>SUM(CS5:DB5)</f>
        <v>518096.25</v>
      </c>
      <c r="DD5" s="326">
        <f t="shared" ref="DD5:DD20" si="15">IF(($C$1-AI5-1)&lt;0,0,$C$1-AI5-1)</f>
        <v>1</v>
      </c>
      <c r="DE5" s="323">
        <f t="shared" ref="DE5:DE20" si="16">(HLOOKUP(T5,$CD$4:$CG$14,2,FALSE))</f>
        <v>40</v>
      </c>
      <c r="DF5" s="323">
        <f t="shared" ref="DF5:DF20" si="17">(HLOOKUP(U5,$CD$4:$CG$14,3,FALSE))</f>
        <v>40</v>
      </c>
      <c r="DG5" s="323">
        <f t="shared" ref="DG5:DG20" si="18">(HLOOKUP(V5,$CD$4:$CG$14,4,FALSE))</f>
        <v>10</v>
      </c>
      <c r="DH5" s="323">
        <f t="shared" ref="DH5:DH20" si="19">(HLOOKUP(W5,$CD$4:$CG$14,5,FALSE))</f>
        <v>20</v>
      </c>
      <c r="DI5" s="323">
        <f t="shared" ref="DI5:DI20" si="20">(HLOOKUP(X5,$CD$4:$CG$14,6,FALSE))</f>
        <v>40</v>
      </c>
      <c r="DJ5" s="323">
        <f t="shared" ref="DJ5:DJ20" si="21">(HLOOKUP(Y5,$CD$4:$CG$14,7,FALSE))</f>
        <v>20</v>
      </c>
      <c r="DK5" s="323">
        <f t="shared" ref="DK5:DL20" si="22">(HLOOKUP(Z5,$CD$4:$CG$14,8,FALSE))</f>
        <v>10</v>
      </c>
      <c r="DL5" s="323">
        <f t="shared" si="22"/>
        <v>10</v>
      </c>
      <c r="DM5" s="323">
        <f t="shared" ref="DM5:DM20" si="23">(HLOOKUP(AB5,$CD$4:$CG$14,9))</f>
        <v>20</v>
      </c>
      <c r="DN5" s="323">
        <f t="shared" ref="DN5:DN20" si="24">(HLOOKUP(AC5,$CD$4:$CG$14,10))</f>
        <v>20</v>
      </c>
      <c r="DO5" s="327">
        <f t="shared" ref="DO5:DX20" si="25">CS5/DE5</f>
        <v>1269.84375</v>
      </c>
      <c r="DP5" s="327">
        <f t="shared" si="25"/>
        <v>4232.8125</v>
      </c>
      <c r="DQ5" s="327">
        <f t="shared" si="25"/>
        <v>3386.25</v>
      </c>
      <c r="DR5" s="327">
        <f t="shared" si="25"/>
        <v>2539.6875</v>
      </c>
      <c r="DS5" s="327">
        <f t="shared" si="25"/>
        <v>2116.40625</v>
      </c>
      <c r="DT5" s="327">
        <f t="shared" si="25"/>
        <v>1693.125</v>
      </c>
      <c r="DU5" s="327">
        <f t="shared" si="25"/>
        <v>2708.9999999999995</v>
      </c>
      <c r="DV5" s="327">
        <f t="shared" si="25"/>
        <v>2708.9999999999995</v>
      </c>
      <c r="DW5" s="327">
        <f t="shared" si="25"/>
        <v>1693.125</v>
      </c>
      <c r="DX5" s="327">
        <f t="shared" si="25"/>
        <v>338.62499999999994</v>
      </c>
      <c r="DY5" s="327">
        <f>SUM(DO5:DX5)</f>
        <v>22687.875</v>
      </c>
      <c r="DZ5" s="323">
        <f t="shared" ref="DZ5:EI20" si="26">IF(DO5*$DD5&gt;CS5,CS5,DO5*$DD5)</f>
        <v>1269.84375</v>
      </c>
      <c r="EA5" s="323">
        <f t="shared" si="26"/>
        <v>4232.8125</v>
      </c>
      <c r="EB5" s="323">
        <f t="shared" si="26"/>
        <v>3386.25</v>
      </c>
      <c r="EC5" s="323">
        <f t="shared" si="26"/>
        <v>2539.6875</v>
      </c>
      <c r="ED5" s="323">
        <f t="shared" si="26"/>
        <v>2116.40625</v>
      </c>
      <c r="EE5" s="323">
        <f t="shared" si="26"/>
        <v>1693.125</v>
      </c>
      <c r="EF5" s="323">
        <f t="shared" si="26"/>
        <v>2708.9999999999995</v>
      </c>
      <c r="EG5" s="323">
        <f t="shared" si="26"/>
        <v>2708.9999999999995</v>
      </c>
      <c r="EH5" s="323">
        <f t="shared" si="26"/>
        <v>1693.125</v>
      </c>
      <c r="EI5" s="323">
        <f t="shared" si="26"/>
        <v>338.62499999999994</v>
      </c>
      <c r="EJ5" s="324">
        <f>SUM(DZ5:EI5)</f>
        <v>22687.875</v>
      </c>
      <c r="EK5" s="327">
        <f t="shared" ref="EK5:ET20" si="27">IF(DO5&lt;(CS5-DZ5),DO5,(CS5-DZ5))</f>
        <v>1269.84375</v>
      </c>
      <c r="EL5" s="327">
        <f t="shared" si="27"/>
        <v>4232.8125</v>
      </c>
      <c r="EM5" s="327">
        <f t="shared" si="27"/>
        <v>3386.25</v>
      </c>
      <c r="EN5" s="327">
        <f t="shared" si="27"/>
        <v>2539.6875</v>
      </c>
      <c r="EO5" s="327">
        <f t="shared" si="27"/>
        <v>2116.40625</v>
      </c>
      <c r="EP5" s="327">
        <f t="shared" si="27"/>
        <v>1693.125</v>
      </c>
      <c r="EQ5" s="327">
        <f t="shared" si="27"/>
        <v>2708.9999999999995</v>
      </c>
      <c r="ER5" s="327">
        <f t="shared" si="27"/>
        <v>2708.9999999999995</v>
      </c>
      <c r="ES5" s="327">
        <f t="shared" si="27"/>
        <v>1693.125</v>
      </c>
      <c r="ET5" s="327">
        <f t="shared" si="27"/>
        <v>338.62499999999994</v>
      </c>
      <c r="EU5" s="325">
        <f>SUM(EK5:ET5)</f>
        <v>22687.875</v>
      </c>
      <c r="EV5" s="328"/>
      <c r="EW5" s="324"/>
      <c r="EX5" s="328"/>
      <c r="EY5" s="328"/>
      <c r="EZ5" s="323"/>
      <c r="FA5" s="323"/>
      <c r="FB5" s="323"/>
      <c r="FD5" s="589"/>
      <c r="FE5" s="589"/>
      <c r="FF5" s="589"/>
      <c r="FG5" s="589"/>
      <c r="FH5" s="589"/>
      <c r="FI5" s="589"/>
    </row>
    <row r="6" spans="1:165" ht="70.5" customHeight="1" thickTop="1" thickBot="1" x14ac:dyDescent="0.35">
      <c r="A6" s="330"/>
      <c r="B6" s="318"/>
      <c r="C6" s="318"/>
      <c r="D6" s="318"/>
      <c r="E6" s="318"/>
      <c r="F6" s="318"/>
      <c r="G6" s="318"/>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7"/>
      <c r="AN6" s="317"/>
      <c r="AO6" s="511" t="e">
        <f t="shared" ref="AO6:AO19" si="28">EJ6+FA6</f>
        <v>#N/A</v>
      </c>
      <c r="AP6" s="511" t="e">
        <f t="shared" ref="AP6:AP19" si="29">AM6-AO6</f>
        <v>#N/A</v>
      </c>
      <c r="AQ6" s="511" t="e">
        <f t="shared" ref="AQ6:AQ19" si="30">EU6+FB6</f>
        <v>#N/A</v>
      </c>
      <c r="AR6" s="511" t="e">
        <f t="shared" ref="AR6:AR19" si="31">AP6-AQ6</f>
        <v>#N/A</v>
      </c>
      <c r="AS6" s="511" t="e">
        <f>HLOOKUP($C$1,'Inflation Adjustments'!$BI$3:$BT$4,2)*CR6</f>
        <v>#N/A</v>
      </c>
      <c r="AT6" s="317">
        <f>IF(BU6="In Service",'Maintenace Cost Assumptions'!$B$3*AS6,0)</f>
        <v>0</v>
      </c>
      <c r="AU6" s="318"/>
      <c r="AV6" s="318"/>
      <c r="AW6" s="318"/>
      <c r="AX6" s="318"/>
      <c r="AY6" s="318"/>
      <c r="AZ6" s="318"/>
      <c r="BA6" s="318"/>
      <c r="BB6" s="318"/>
      <c r="BC6" s="318"/>
      <c r="BD6" s="318"/>
      <c r="BE6" s="318"/>
      <c r="BF6" s="318"/>
      <c r="BG6" s="319">
        <f>(AU6*'Condition rating weights'!H$8+AV6*'Condition rating weights'!I$8+AW6*'Condition rating weights'!J$8+AX6*'Condition rating weights'!K$8+AY6*'Condition rating weights'!L$8+AZ6*'Condition rating weights'!M$8+BA6*'Condition rating weights'!N$8+BB6*'Condition rating weights'!O$8+BC6*'Condition rating weights'!P$8+BD6*'Condition rating weights'!Q$8+BE6*'Condition rating weights'!R$8+BF6*'Condition rating weights'!S$8)/100</f>
        <v>0</v>
      </c>
      <c r="BH6" s="333"/>
      <c r="BI6" s="333"/>
      <c r="BJ6" s="333"/>
      <c r="BK6" s="333"/>
      <c r="BL6" s="333"/>
      <c r="BM6" s="333"/>
      <c r="BN6" s="333"/>
      <c r="BO6" s="333"/>
      <c r="BP6" s="333"/>
      <c r="BQ6" s="333"/>
      <c r="BR6" s="333"/>
      <c r="BS6" s="333"/>
      <c r="BT6" s="334"/>
      <c r="BU6" s="335"/>
      <c r="BV6" s="255"/>
      <c r="BY6" s="306" t="str">
        <f>'GRC and TUL Assumptions'!A6</f>
        <v>Structure</v>
      </c>
      <c r="BZ6" s="305">
        <f>'GRC and TUL Assumptions'!C6</f>
        <v>500</v>
      </c>
      <c r="CA6" s="305">
        <f>'GRC and TUL Assumptions'!D6</f>
        <v>800</v>
      </c>
      <c r="CB6" s="305">
        <f>'GRC and TUL Assumptions'!E6</f>
        <v>1500</v>
      </c>
      <c r="CC6" s="305">
        <v>0</v>
      </c>
      <c r="CD6" s="305">
        <f>'GRC and TUL Assumptions'!F6</f>
        <v>40</v>
      </c>
      <c r="CE6" s="305">
        <f>'GRC and TUL Assumptions'!G6</f>
        <v>60</v>
      </c>
      <c r="CF6" s="305">
        <f>'GRC and TUL Assumptions'!H6</f>
        <v>60</v>
      </c>
      <c r="CG6" s="305">
        <f t="shared" ref="CG6:CG14" si="32">CD6</f>
        <v>40</v>
      </c>
      <c r="CH6" s="323" t="e">
        <f t="shared" si="5"/>
        <v>#N/A</v>
      </c>
      <c r="CI6" s="323" t="e">
        <f t="shared" si="6"/>
        <v>#N/A</v>
      </c>
      <c r="CJ6" s="323" t="e">
        <f t="shared" si="7"/>
        <v>#N/A</v>
      </c>
      <c r="CK6" s="323" t="e">
        <f t="shared" si="8"/>
        <v>#N/A</v>
      </c>
      <c r="CL6" s="323" t="e">
        <f t="shared" si="9"/>
        <v>#N/A</v>
      </c>
      <c r="CM6" s="323" t="e">
        <f t="shared" si="10"/>
        <v>#N/A</v>
      </c>
      <c r="CN6" s="323" t="e">
        <f t="shared" si="11"/>
        <v>#N/A</v>
      </c>
      <c r="CO6" s="323" t="e">
        <f t="shared" si="12"/>
        <v>#N/A</v>
      </c>
      <c r="CP6" s="323" t="e">
        <f t="shared" si="13"/>
        <v>#N/A</v>
      </c>
      <c r="CQ6" s="323" t="e">
        <f t="shared" si="14"/>
        <v>#N/A</v>
      </c>
      <c r="CR6" s="324" t="e">
        <f t="shared" ref="CR6:CR20" si="33">SUM(CH6:CQ6)</f>
        <v>#N/A</v>
      </c>
      <c r="CS6" s="325" t="e">
        <f>(HLOOKUP($AI6,'Inflation Adjustments'!$M$3:$BT$4,2,TRUE))*CH6</f>
        <v>#N/A</v>
      </c>
      <c r="CT6" s="325" t="e">
        <f>(HLOOKUP($AI6,'Inflation Adjustments'!$M$3:$BT$4,2,TRUE))*CI6</f>
        <v>#N/A</v>
      </c>
      <c r="CU6" s="325" t="e">
        <f>(HLOOKUP($AI6,'Inflation Adjustments'!$M$3:$BT$4,2,TRUE))*CJ6</f>
        <v>#N/A</v>
      </c>
      <c r="CV6" s="325" t="e">
        <f>(HLOOKUP($AI6,'Inflation Adjustments'!$M$3:$BT$4,2,TRUE))*CK6</f>
        <v>#N/A</v>
      </c>
      <c r="CW6" s="325" t="e">
        <f>(HLOOKUP($AI6,'Inflation Adjustments'!$M$3:$BT$4,2,TRUE))*CL6</f>
        <v>#N/A</v>
      </c>
      <c r="CX6" s="325" t="e">
        <f>(HLOOKUP($AI6,'Inflation Adjustments'!$M$3:$BT$4,2,TRUE))*CM6</f>
        <v>#N/A</v>
      </c>
      <c r="CY6" s="325" t="e">
        <f>(HLOOKUP($AI6,'Inflation Adjustments'!$M$3:$BT$4,2,TRUE))*CN6</f>
        <v>#N/A</v>
      </c>
      <c r="CZ6" s="325" t="e">
        <f>(HLOOKUP($AI6,'Inflation Adjustments'!$M$3:$BT$4,2,TRUE))*CO6</f>
        <v>#N/A</v>
      </c>
      <c r="DA6" s="325" t="e">
        <f>(HLOOKUP($AI6,'Inflation Adjustments'!$M$3:$BT$4,2,TRUE))*CP6</f>
        <v>#N/A</v>
      </c>
      <c r="DB6" s="325" t="e">
        <f>(HLOOKUP($AI6,'Inflation Adjustments'!$M$3:$BT$4,2,TRUE))*CQ6</f>
        <v>#N/A</v>
      </c>
      <c r="DC6" s="325" t="e">
        <f t="shared" ref="DC6:DC20" si="34">SUM(CS6:DB6)</f>
        <v>#N/A</v>
      </c>
      <c r="DD6" s="326">
        <f t="shared" si="15"/>
        <v>2022</v>
      </c>
      <c r="DE6" s="323" t="e">
        <f t="shared" si="16"/>
        <v>#N/A</v>
      </c>
      <c r="DF6" s="323" t="e">
        <f t="shared" si="17"/>
        <v>#N/A</v>
      </c>
      <c r="DG6" s="323" t="e">
        <f t="shared" si="18"/>
        <v>#N/A</v>
      </c>
      <c r="DH6" s="323" t="e">
        <f t="shared" si="19"/>
        <v>#N/A</v>
      </c>
      <c r="DI6" s="323" t="e">
        <f t="shared" si="20"/>
        <v>#N/A</v>
      </c>
      <c r="DJ6" s="323" t="e">
        <f t="shared" si="21"/>
        <v>#N/A</v>
      </c>
      <c r="DK6" s="323" t="e">
        <f t="shared" si="22"/>
        <v>#N/A</v>
      </c>
      <c r="DL6" s="323" t="e">
        <f t="shared" si="22"/>
        <v>#N/A</v>
      </c>
      <c r="DM6" s="323" t="e">
        <f t="shared" si="23"/>
        <v>#N/A</v>
      </c>
      <c r="DN6" s="323" t="e">
        <f t="shared" si="24"/>
        <v>#N/A</v>
      </c>
      <c r="DO6" s="327" t="e">
        <f t="shared" si="25"/>
        <v>#N/A</v>
      </c>
      <c r="DP6" s="327" t="e">
        <f t="shared" si="25"/>
        <v>#N/A</v>
      </c>
      <c r="DQ6" s="327" t="e">
        <f t="shared" si="25"/>
        <v>#N/A</v>
      </c>
      <c r="DR6" s="327" t="e">
        <f t="shared" si="25"/>
        <v>#N/A</v>
      </c>
      <c r="DS6" s="327" t="e">
        <f t="shared" si="25"/>
        <v>#N/A</v>
      </c>
      <c r="DT6" s="327" t="e">
        <f t="shared" si="25"/>
        <v>#N/A</v>
      </c>
      <c r="DU6" s="327" t="e">
        <f t="shared" si="25"/>
        <v>#N/A</v>
      </c>
      <c r="DV6" s="327" t="e">
        <f t="shared" si="25"/>
        <v>#N/A</v>
      </c>
      <c r="DW6" s="327" t="e">
        <f t="shared" si="25"/>
        <v>#N/A</v>
      </c>
      <c r="DX6" s="327" t="e">
        <f t="shared" si="25"/>
        <v>#N/A</v>
      </c>
      <c r="DY6" s="327" t="e">
        <f t="shared" ref="DY6:DY20" si="35">SUM(DO6:DX6)</f>
        <v>#N/A</v>
      </c>
      <c r="DZ6" s="323" t="e">
        <f t="shared" si="26"/>
        <v>#N/A</v>
      </c>
      <c r="EA6" s="323" t="e">
        <f t="shared" si="26"/>
        <v>#N/A</v>
      </c>
      <c r="EB6" s="323" t="e">
        <f t="shared" si="26"/>
        <v>#N/A</v>
      </c>
      <c r="EC6" s="323" t="e">
        <f t="shared" si="26"/>
        <v>#N/A</v>
      </c>
      <c r="ED6" s="323" t="e">
        <f t="shared" si="26"/>
        <v>#N/A</v>
      </c>
      <c r="EE6" s="323" t="e">
        <f t="shared" si="26"/>
        <v>#N/A</v>
      </c>
      <c r="EF6" s="323" t="e">
        <f t="shared" si="26"/>
        <v>#N/A</v>
      </c>
      <c r="EG6" s="323" t="e">
        <f t="shared" si="26"/>
        <v>#N/A</v>
      </c>
      <c r="EH6" s="323" t="e">
        <f t="shared" si="26"/>
        <v>#N/A</v>
      </c>
      <c r="EI6" s="323" t="e">
        <f t="shared" si="26"/>
        <v>#N/A</v>
      </c>
      <c r="EJ6" s="324" t="e">
        <f t="shared" ref="EJ6:EJ20" si="36">SUM(DZ6:EI6)</f>
        <v>#N/A</v>
      </c>
      <c r="EK6" s="327" t="e">
        <f t="shared" si="27"/>
        <v>#N/A</v>
      </c>
      <c r="EL6" s="327" t="e">
        <f t="shared" si="27"/>
        <v>#N/A</v>
      </c>
      <c r="EM6" s="327" t="e">
        <f t="shared" si="27"/>
        <v>#N/A</v>
      </c>
      <c r="EN6" s="327" t="e">
        <f t="shared" si="27"/>
        <v>#N/A</v>
      </c>
      <c r="EO6" s="327" t="e">
        <f t="shared" si="27"/>
        <v>#N/A</v>
      </c>
      <c r="EP6" s="327" t="e">
        <f t="shared" si="27"/>
        <v>#N/A</v>
      </c>
      <c r="EQ6" s="327" t="e">
        <f t="shared" si="27"/>
        <v>#N/A</v>
      </c>
      <c r="ER6" s="327" t="e">
        <f t="shared" si="27"/>
        <v>#N/A</v>
      </c>
      <c r="ES6" s="327" t="e">
        <f t="shared" si="27"/>
        <v>#N/A</v>
      </c>
      <c r="ET6" s="327" t="e">
        <f t="shared" si="27"/>
        <v>#N/A</v>
      </c>
      <c r="EU6" s="325" t="e">
        <f t="shared" ref="EU6:EU20" si="37">SUM(EK6:ET6)</f>
        <v>#N/A</v>
      </c>
      <c r="EV6" s="328"/>
      <c r="EW6" s="336"/>
      <c r="EX6" s="336"/>
      <c r="EY6" s="336"/>
      <c r="EZ6" s="336"/>
      <c r="FA6" s="336"/>
      <c r="FB6" s="336"/>
    </row>
    <row r="7" spans="1:165" ht="61.5" customHeight="1" thickTop="1" thickBot="1" x14ac:dyDescent="0.35">
      <c r="A7" s="330"/>
      <c r="B7" s="318"/>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7"/>
      <c r="AN7" s="317"/>
      <c r="AO7" s="511" t="e">
        <f t="shared" si="28"/>
        <v>#N/A</v>
      </c>
      <c r="AP7" s="511" t="e">
        <f t="shared" si="29"/>
        <v>#N/A</v>
      </c>
      <c r="AQ7" s="511" t="e">
        <f t="shared" si="30"/>
        <v>#N/A</v>
      </c>
      <c r="AR7" s="511" t="e">
        <f t="shared" si="31"/>
        <v>#N/A</v>
      </c>
      <c r="AS7" s="511" t="e">
        <f>HLOOKUP($C$1,'Inflation Adjustments'!$BI$3:$BT$4,2)*CR7</f>
        <v>#N/A</v>
      </c>
      <c r="AT7" s="317">
        <f>IF(BU7="In Service",'Maintenace Cost Assumptions'!$B$3*AS7,0)</f>
        <v>0</v>
      </c>
      <c r="AU7" s="318"/>
      <c r="AV7" s="318"/>
      <c r="AW7" s="318"/>
      <c r="AX7" s="318"/>
      <c r="AY7" s="318"/>
      <c r="AZ7" s="318"/>
      <c r="BA7" s="318"/>
      <c r="BB7" s="318"/>
      <c r="BC7" s="318"/>
      <c r="BD7" s="318"/>
      <c r="BE7" s="318"/>
      <c r="BF7" s="318"/>
      <c r="BG7" s="319">
        <f>(AU7*'Condition rating weights'!H$8+AV7*'Condition rating weights'!I$8+AW7*'Condition rating weights'!J$8+AX7*'Condition rating weights'!K$8+AY7*'Condition rating weights'!L$8+AZ7*'Condition rating weights'!M$8+BA7*'Condition rating weights'!N$8+BB7*'Condition rating weights'!O$8+BC7*'Condition rating weights'!P$8+BD7*'Condition rating weights'!Q$8+BE7*'Condition rating weights'!R$8+BF7*'Condition rating weights'!S$8)/100</f>
        <v>0</v>
      </c>
      <c r="BH7" s="333"/>
      <c r="BI7" s="333"/>
      <c r="BJ7" s="333"/>
      <c r="BK7" s="333"/>
      <c r="BL7" s="333"/>
      <c r="BM7" s="333"/>
      <c r="BN7" s="333"/>
      <c r="BO7" s="333"/>
      <c r="BP7" s="333"/>
      <c r="BQ7" s="333"/>
      <c r="BR7" s="333"/>
      <c r="BS7" s="333"/>
      <c r="BT7" s="334"/>
      <c r="BU7" s="335"/>
      <c r="BV7" s="255"/>
      <c r="BY7" s="306" t="str">
        <f>'GRC and TUL Assumptions'!A7</f>
        <v>Roofing</v>
      </c>
      <c r="BZ7" s="305">
        <f>'GRC and TUL Assumptions'!C7</f>
        <v>100</v>
      </c>
      <c r="CA7" s="305">
        <f>'GRC and TUL Assumptions'!D7</f>
        <v>150</v>
      </c>
      <c r="CB7" s="305">
        <f>'GRC and TUL Assumptions'!E7</f>
        <v>300</v>
      </c>
      <c r="CC7" s="305">
        <v>0</v>
      </c>
      <c r="CD7" s="305">
        <f>'GRC and TUL Assumptions'!F7</f>
        <v>10</v>
      </c>
      <c r="CE7" s="305">
        <f>'GRC and TUL Assumptions'!G7</f>
        <v>20</v>
      </c>
      <c r="CF7" s="305">
        <f>'GRC and TUL Assumptions'!H7</f>
        <v>30</v>
      </c>
      <c r="CG7" s="305">
        <f t="shared" si="32"/>
        <v>10</v>
      </c>
      <c r="CH7" s="323" t="e">
        <f t="shared" si="5"/>
        <v>#N/A</v>
      </c>
      <c r="CI7" s="323" t="e">
        <f t="shared" si="6"/>
        <v>#N/A</v>
      </c>
      <c r="CJ7" s="323" t="e">
        <f t="shared" si="7"/>
        <v>#N/A</v>
      </c>
      <c r="CK7" s="323" t="e">
        <f t="shared" si="8"/>
        <v>#N/A</v>
      </c>
      <c r="CL7" s="323" t="e">
        <f t="shared" si="9"/>
        <v>#N/A</v>
      </c>
      <c r="CM7" s="323" t="e">
        <f t="shared" si="10"/>
        <v>#N/A</v>
      </c>
      <c r="CN7" s="323" t="e">
        <f t="shared" si="11"/>
        <v>#N/A</v>
      </c>
      <c r="CO7" s="323" t="e">
        <f t="shared" si="12"/>
        <v>#N/A</v>
      </c>
      <c r="CP7" s="323" t="e">
        <f t="shared" si="13"/>
        <v>#N/A</v>
      </c>
      <c r="CQ7" s="323" t="e">
        <f t="shared" si="14"/>
        <v>#N/A</v>
      </c>
      <c r="CR7" s="324" t="e">
        <f t="shared" si="33"/>
        <v>#N/A</v>
      </c>
      <c r="CS7" s="325" t="e">
        <f>(HLOOKUP($AI7,'Inflation Adjustments'!$B$3:$BT$4,2,TRUE))*CH7</f>
        <v>#N/A</v>
      </c>
      <c r="CT7" s="325" t="e">
        <f>(HLOOKUP($AI7,'Inflation Adjustments'!$B$3:$BT$4,2,TRUE))*CI7</f>
        <v>#N/A</v>
      </c>
      <c r="CU7" s="325" t="e">
        <f>(HLOOKUP($AI7,'Inflation Adjustments'!$B$3:$BT$4,2,TRUE))*CJ7</f>
        <v>#N/A</v>
      </c>
      <c r="CV7" s="325" t="e">
        <f>(HLOOKUP($AI7,'Inflation Adjustments'!$B$3:$BT$4,2,TRUE))*CK7</f>
        <v>#N/A</v>
      </c>
      <c r="CW7" s="325" t="e">
        <f>(HLOOKUP($AI7,'Inflation Adjustments'!$B$3:$BT$4,2,TRUE))*CL7</f>
        <v>#N/A</v>
      </c>
      <c r="CX7" s="325" t="e">
        <f>(HLOOKUP($AI7,'Inflation Adjustments'!$B$3:$BT$4,2,TRUE))*CM7</f>
        <v>#N/A</v>
      </c>
      <c r="CY7" s="325" t="e">
        <f>(HLOOKUP($AI7,'Inflation Adjustments'!$B$3:$BT$4,2,TRUE))*CN7</f>
        <v>#N/A</v>
      </c>
      <c r="CZ7" s="325" t="e">
        <f>(HLOOKUP($AI7,'Inflation Adjustments'!$B$3:$BT$4,2,TRUE))*CO7</f>
        <v>#N/A</v>
      </c>
      <c r="DA7" s="325" t="e">
        <f>(HLOOKUP($AI7,'Inflation Adjustments'!$B$3:$BT$4,2,TRUE))*CP7</f>
        <v>#N/A</v>
      </c>
      <c r="DB7" s="325" t="e">
        <f>(HLOOKUP($AI7,'Inflation Adjustments'!$B$3:$BT$4,2,TRUE))*CQ7</f>
        <v>#N/A</v>
      </c>
      <c r="DC7" s="325" t="e">
        <f t="shared" si="34"/>
        <v>#N/A</v>
      </c>
      <c r="DD7" s="326">
        <f t="shared" si="15"/>
        <v>2022</v>
      </c>
      <c r="DE7" s="323" t="e">
        <f t="shared" si="16"/>
        <v>#N/A</v>
      </c>
      <c r="DF7" s="323" t="e">
        <f t="shared" si="17"/>
        <v>#N/A</v>
      </c>
      <c r="DG7" s="323" t="e">
        <f t="shared" si="18"/>
        <v>#N/A</v>
      </c>
      <c r="DH7" s="323" t="e">
        <f t="shared" si="19"/>
        <v>#N/A</v>
      </c>
      <c r="DI7" s="323" t="e">
        <f t="shared" si="20"/>
        <v>#N/A</v>
      </c>
      <c r="DJ7" s="323" t="e">
        <f t="shared" si="21"/>
        <v>#N/A</v>
      </c>
      <c r="DK7" s="323" t="e">
        <f t="shared" si="22"/>
        <v>#N/A</v>
      </c>
      <c r="DL7" s="323" t="e">
        <f t="shared" si="22"/>
        <v>#N/A</v>
      </c>
      <c r="DM7" s="323" t="e">
        <f t="shared" si="23"/>
        <v>#N/A</v>
      </c>
      <c r="DN7" s="323" t="e">
        <f t="shared" si="24"/>
        <v>#N/A</v>
      </c>
      <c r="DO7" s="327" t="e">
        <f t="shared" si="25"/>
        <v>#N/A</v>
      </c>
      <c r="DP7" s="327" t="e">
        <f t="shared" si="25"/>
        <v>#N/A</v>
      </c>
      <c r="DQ7" s="327" t="e">
        <f t="shared" si="25"/>
        <v>#N/A</v>
      </c>
      <c r="DR7" s="327" t="e">
        <f t="shared" si="25"/>
        <v>#N/A</v>
      </c>
      <c r="DS7" s="327" t="e">
        <f t="shared" si="25"/>
        <v>#N/A</v>
      </c>
      <c r="DT7" s="327" t="e">
        <f t="shared" si="25"/>
        <v>#N/A</v>
      </c>
      <c r="DU7" s="327" t="e">
        <f t="shared" si="25"/>
        <v>#N/A</v>
      </c>
      <c r="DV7" s="327" t="e">
        <f t="shared" si="25"/>
        <v>#N/A</v>
      </c>
      <c r="DW7" s="327" t="e">
        <f t="shared" si="25"/>
        <v>#N/A</v>
      </c>
      <c r="DX7" s="327" t="e">
        <f t="shared" si="25"/>
        <v>#N/A</v>
      </c>
      <c r="DY7" s="327" t="e">
        <f t="shared" si="35"/>
        <v>#N/A</v>
      </c>
      <c r="DZ7" s="323" t="e">
        <f t="shared" si="26"/>
        <v>#N/A</v>
      </c>
      <c r="EA7" s="323" t="e">
        <f t="shared" si="26"/>
        <v>#N/A</v>
      </c>
      <c r="EB7" s="323" t="e">
        <f t="shared" si="26"/>
        <v>#N/A</v>
      </c>
      <c r="EC7" s="323" t="e">
        <f t="shared" si="26"/>
        <v>#N/A</v>
      </c>
      <c r="ED7" s="323" t="e">
        <f t="shared" si="26"/>
        <v>#N/A</v>
      </c>
      <c r="EE7" s="323" t="e">
        <f t="shared" si="26"/>
        <v>#N/A</v>
      </c>
      <c r="EF7" s="323" t="e">
        <f t="shared" si="26"/>
        <v>#N/A</v>
      </c>
      <c r="EG7" s="323" t="e">
        <f t="shared" si="26"/>
        <v>#N/A</v>
      </c>
      <c r="EH7" s="323" t="e">
        <f t="shared" si="26"/>
        <v>#N/A</v>
      </c>
      <c r="EI7" s="323" t="e">
        <f t="shared" si="26"/>
        <v>#N/A</v>
      </c>
      <c r="EJ7" s="324" t="e">
        <f t="shared" si="36"/>
        <v>#N/A</v>
      </c>
      <c r="EK7" s="327" t="e">
        <f t="shared" si="27"/>
        <v>#N/A</v>
      </c>
      <c r="EL7" s="327" t="e">
        <f t="shared" si="27"/>
        <v>#N/A</v>
      </c>
      <c r="EM7" s="327" t="e">
        <f t="shared" si="27"/>
        <v>#N/A</v>
      </c>
      <c r="EN7" s="327" t="e">
        <f t="shared" si="27"/>
        <v>#N/A</v>
      </c>
      <c r="EO7" s="327" t="e">
        <f t="shared" si="27"/>
        <v>#N/A</v>
      </c>
      <c r="EP7" s="327" t="e">
        <f t="shared" si="27"/>
        <v>#N/A</v>
      </c>
      <c r="EQ7" s="327" t="e">
        <f t="shared" si="27"/>
        <v>#N/A</v>
      </c>
      <c r="ER7" s="327" t="e">
        <f t="shared" si="27"/>
        <v>#N/A</v>
      </c>
      <c r="ES7" s="327" t="e">
        <f t="shared" si="27"/>
        <v>#N/A</v>
      </c>
      <c r="ET7" s="327" t="e">
        <f t="shared" si="27"/>
        <v>#N/A</v>
      </c>
      <c r="EU7" s="325" t="e">
        <f t="shared" si="37"/>
        <v>#N/A</v>
      </c>
      <c r="EV7" s="328"/>
      <c r="EW7" s="324"/>
      <c r="EX7" s="323"/>
      <c r="EY7" s="328"/>
      <c r="EZ7" s="323"/>
      <c r="FA7" s="323"/>
      <c r="FB7" s="323"/>
    </row>
    <row r="8" spans="1:165" ht="61.5" customHeight="1" thickTop="1" thickBot="1" x14ac:dyDescent="0.35">
      <c r="A8" s="330"/>
      <c r="B8" s="318"/>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317"/>
      <c r="AN8" s="317"/>
      <c r="AO8" s="511" t="e">
        <f t="shared" si="28"/>
        <v>#N/A</v>
      </c>
      <c r="AP8" s="511" t="e">
        <f t="shared" si="29"/>
        <v>#N/A</v>
      </c>
      <c r="AQ8" s="511" t="e">
        <f t="shared" si="30"/>
        <v>#N/A</v>
      </c>
      <c r="AR8" s="511" t="e">
        <f t="shared" si="31"/>
        <v>#N/A</v>
      </c>
      <c r="AS8" s="511" t="e">
        <f>HLOOKUP($C$1,'Inflation Adjustments'!$BI$3:$BT$4,2)*CR8</f>
        <v>#N/A</v>
      </c>
      <c r="AT8" s="317">
        <f>IF(BU8="In Service",'Maintenace Cost Assumptions'!$B$3*AS8,0)</f>
        <v>0</v>
      </c>
      <c r="AU8" s="318"/>
      <c r="AV8" s="318"/>
      <c r="AW8" s="318"/>
      <c r="AX8" s="318"/>
      <c r="AY8" s="318"/>
      <c r="AZ8" s="318"/>
      <c r="BA8" s="318"/>
      <c r="BB8" s="318"/>
      <c r="BC8" s="318"/>
      <c r="BD8" s="318"/>
      <c r="BE8" s="318"/>
      <c r="BF8" s="318"/>
      <c r="BG8" s="319">
        <f>(AU8*'Condition rating weights'!H$8+AV8*'Condition rating weights'!I$8+AW8*'Condition rating weights'!J$8+AX8*'Condition rating weights'!K$8+AY8*'Condition rating weights'!L$8+AZ8*'Condition rating weights'!M$8+BA8*'Condition rating weights'!N$8+BB8*'Condition rating weights'!O$8+BC8*'Condition rating weights'!P$8+BD8*'Condition rating weights'!Q$8+BE8*'Condition rating weights'!R$8+BF8*'Condition rating weights'!S$8)/100</f>
        <v>0</v>
      </c>
      <c r="BH8" s="333"/>
      <c r="BI8" s="333"/>
      <c r="BJ8" s="333"/>
      <c r="BK8" s="333"/>
      <c r="BL8" s="333"/>
      <c r="BM8" s="333"/>
      <c r="BN8" s="333"/>
      <c r="BO8" s="333"/>
      <c r="BP8" s="333"/>
      <c r="BQ8" s="333"/>
      <c r="BR8" s="333"/>
      <c r="BS8" s="333"/>
      <c r="BT8" s="334"/>
      <c r="BU8" s="335"/>
      <c r="BV8" s="255"/>
      <c r="BY8" s="306" t="str">
        <f>'GRC and TUL Assumptions'!A8</f>
        <v>Exterior Wall Cladding</v>
      </c>
      <c r="BZ8" s="305">
        <f>'GRC and TUL Assumptions'!C8</f>
        <v>150</v>
      </c>
      <c r="CA8" s="305">
        <f>'GRC and TUL Assumptions'!D8</f>
        <v>230</v>
      </c>
      <c r="CB8" s="305">
        <f>'GRC and TUL Assumptions'!E8</f>
        <v>300</v>
      </c>
      <c r="CC8" s="305">
        <v>0</v>
      </c>
      <c r="CD8" s="305">
        <f>'GRC and TUL Assumptions'!F8</f>
        <v>20</v>
      </c>
      <c r="CE8" s="305">
        <f>'GRC and TUL Assumptions'!G8</f>
        <v>30</v>
      </c>
      <c r="CF8" s="305">
        <f>'GRC and TUL Assumptions'!H8</f>
        <v>40</v>
      </c>
      <c r="CG8" s="305">
        <f t="shared" si="32"/>
        <v>20</v>
      </c>
      <c r="CH8" s="323" t="e">
        <f t="shared" si="5"/>
        <v>#N/A</v>
      </c>
      <c r="CI8" s="323" t="e">
        <f t="shared" si="6"/>
        <v>#N/A</v>
      </c>
      <c r="CJ8" s="323" t="e">
        <f t="shared" si="7"/>
        <v>#N/A</v>
      </c>
      <c r="CK8" s="323" t="e">
        <f t="shared" si="8"/>
        <v>#N/A</v>
      </c>
      <c r="CL8" s="323" t="e">
        <f t="shared" si="9"/>
        <v>#N/A</v>
      </c>
      <c r="CM8" s="323" t="e">
        <f t="shared" si="10"/>
        <v>#N/A</v>
      </c>
      <c r="CN8" s="323" t="e">
        <f t="shared" si="11"/>
        <v>#N/A</v>
      </c>
      <c r="CO8" s="323" t="e">
        <f t="shared" si="12"/>
        <v>#N/A</v>
      </c>
      <c r="CP8" s="323" t="e">
        <f t="shared" si="13"/>
        <v>#N/A</v>
      </c>
      <c r="CQ8" s="323" t="e">
        <f t="shared" si="14"/>
        <v>#N/A</v>
      </c>
      <c r="CR8" s="324" t="e">
        <f t="shared" si="33"/>
        <v>#N/A</v>
      </c>
      <c r="CS8" s="325" t="e">
        <f>(HLOOKUP($AI8,'Inflation Adjustments'!$B$3:$BT$4,2,TRUE))*CH8</f>
        <v>#N/A</v>
      </c>
      <c r="CT8" s="325" t="e">
        <f>(HLOOKUP($AI8,'Inflation Adjustments'!$B$3:$BT$4,2,TRUE))*CI8</f>
        <v>#N/A</v>
      </c>
      <c r="CU8" s="325" t="e">
        <f>(HLOOKUP($AI8,'Inflation Adjustments'!$B$3:$BT$4,2,TRUE))*CJ8</f>
        <v>#N/A</v>
      </c>
      <c r="CV8" s="325" t="e">
        <f>(HLOOKUP($AI8,'Inflation Adjustments'!$B$3:$BT$4,2,TRUE))*CK8</f>
        <v>#N/A</v>
      </c>
      <c r="CW8" s="325" t="e">
        <f>(HLOOKUP($AI8,'Inflation Adjustments'!$B$3:$BT$4,2,TRUE))*CL8</f>
        <v>#N/A</v>
      </c>
      <c r="CX8" s="325" t="e">
        <f>(HLOOKUP($AI8,'Inflation Adjustments'!$B$3:$BT$4,2,TRUE))*CM8</f>
        <v>#N/A</v>
      </c>
      <c r="CY8" s="325" t="e">
        <f>(HLOOKUP($AI8,'Inflation Adjustments'!$B$3:$BT$4,2,TRUE))*CN8</f>
        <v>#N/A</v>
      </c>
      <c r="CZ8" s="325" t="e">
        <f>(HLOOKUP($AI8,'Inflation Adjustments'!$B$3:$BT$4,2,TRUE))*CO8</f>
        <v>#N/A</v>
      </c>
      <c r="DA8" s="325" t="e">
        <f>(HLOOKUP($AI8,'Inflation Adjustments'!$B$3:$BT$4,2,TRUE))*CP8</f>
        <v>#N/A</v>
      </c>
      <c r="DB8" s="325" t="e">
        <f>(HLOOKUP($AI8,'Inflation Adjustments'!$B$3:$BT$4,2,TRUE))*CQ8</f>
        <v>#N/A</v>
      </c>
      <c r="DC8" s="325" t="e">
        <f t="shared" si="34"/>
        <v>#N/A</v>
      </c>
      <c r="DD8" s="326">
        <f t="shared" si="15"/>
        <v>2022</v>
      </c>
      <c r="DE8" s="323" t="e">
        <f t="shared" si="16"/>
        <v>#N/A</v>
      </c>
      <c r="DF8" s="323" t="e">
        <f t="shared" si="17"/>
        <v>#N/A</v>
      </c>
      <c r="DG8" s="323" t="e">
        <f t="shared" si="18"/>
        <v>#N/A</v>
      </c>
      <c r="DH8" s="323" t="e">
        <f t="shared" si="19"/>
        <v>#N/A</v>
      </c>
      <c r="DI8" s="323" t="e">
        <f t="shared" si="20"/>
        <v>#N/A</v>
      </c>
      <c r="DJ8" s="323" t="e">
        <f t="shared" si="21"/>
        <v>#N/A</v>
      </c>
      <c r="DK8" s="323" t="e">
        <f t="shared" si="22"/>
        <v>#N/A</v>
      </c>
      <c r="DL8" s="323" t="e">
        <f t="shared" si="22"/>
        <v>#N/A</v>
      </c>
      <c r="DM8" s="323" t="e">
        <f t="shared" si="23"/>
        <v>#N/A</v>
      </c>
      <c r="DN8" s="323" t="e">
        <f t="shared" si="24"/>
        <v>#N/A</v>
      </c>
      <c r="DO8" s="327" t="e">
        <f t="shared" si="25"/>
        <v>#N/A</v>
      </c>
      <c r="DP8" s="327" t="e">
        <f t="shared" si="25"/>
        <v>#N/A</v>
      </c>
      <c r="DQ8" s="327" t="e">
        <f t="shared" si="25"/>
        <v>#N/A</v>
      </c>
      <c r="DR8" s="327" t="e">
        <f t="shared" si="25"/>
        <v>#N/A</v>
      </c>
      <c r="DS8" s="327" t="e">
        <f t="shared" si="25"/>
        <v>#N/A</v>
      </c>
      <c r="DT8" s="327" t="e">
        <f t="shared" si="25"/>
        <v>#N/A</v>
      </c>
      <c r="DU8" s="327" t="e">
        <f t="shared" si="25"/>
        <v>#N/A</v>
      </c>
      <c r="DV8" s="327" t="e">
        <f t="shared" si="25"/>
        <v>#N/A</v>
      </c>
      <c r="DW8" s="327" t="e">
        <f t="shared" si="25"/>
        <v>#N/A</v>
      </c>
      <c r="DX8" s="327" t="e">
        <f t="shared" si="25"/>
        <v>#N/A</v>
      </c>
      <c r="DY8" s="327" t="e">
        <f t="shared" si="35"/>
        <v>#N/A</v>
      </c>
      <c r="DZ8" s="323" t="e">
        <f t="shared" si="26"/>
        <v>#N/A</v>
      </c>
      <c r="EA8" s="323" t="e">
        <f t="shared" si="26"/>
        <v>#N/A</v>
      </c>
      <c r="EB8" s="323" t="e">
        <f t="shared" si="26"/>
        <v>#N/A</v>
      </c>
      <c r="EC8" s="323" t="e">
        <f t="shared" si="26"/>
        <v>#N/A</v>
      </c>
      <c r="ED8" s="323" t="e">
        <f t="shared" si="26"/>
        <v>#N/A</v>
      </c>
      <c r="EE8" s="323" t="e">
        <f t="shared" si="26"/>
        <v>#N/A</v>
      </c>
      <c r="EF8" s="323" t="e">
        <f t="shared" si="26"/>
        <v>#N/A</v>
      </c>
      <c r="EG8" s="323" t="e">
        <f t="shared" si="26"/>
        <v>#N/A</v>
      </c>
      <c r="EH8" s="323" t="e">
        <f t="shared" si="26"/>
        <v>#N/A</v>
      </c>
      <c r="EI8" s="323" t="e">
        <f t="shared" si="26"/>
        <v>#N/A</v>
      </c>
      <c r="EJ8" s="324" t="e">
        <f t="shared" si="36"/>
        <v>#N/A</v>
      </c>
      <c r="EK8" s="327" t="e">
        <f t="shared" si="27"/>
        <v>#N/A</v>
      </c>
      <c r="EL8" s="327" t="e">
        <f t="shared" si="27"/>
        <v>#N/A</v>
      </c>
      <c r="EM8" s="327" t="e">
        <f t="shared" si="27"/>
        <v>#N/A</v>
      </c>
      <c r="EN8" s="327" t="e">
        <f t="shared" si="27"/>
        <v>#N/A</v>
      </c>
      <c r="EO8" s="327" t="e">
        <f t="shared" si="27"/>
        <v>#N/A</v>
      </c>
      <c r="EP8" s="327" t="e">
        <f t="shared" si="27"/>
        <v>#N/A</v>
      </c>
      <c r="EQ8" s="327" t="e">
        <f t="shared" si="27"/>
        <v>#N/A</v>
      </c>
      <c r="ER8" s="327" t="e">
        <f t="shared" si="27"/>
        <v>#N/A</v>
      </c>
      <c r="ES8" s="327" t="e">
        <f t="shared" si="27"/>
        <v>#N/A</v>
      </c>
      <c r="ET8" s="327" t="e">
        <f t="shared" si="27"/>
        <v>#N/A</v>
      </c>
      <c r="EU8" s="325" t="e">
        <f t="shared" si="37"/>
        <v>#N/A</v>
      </c>
      <c r="EV8" s="328"/>
      <c r="EW8" s="336"/>
      <c r="EX8" s="336"/>
      <c r="EY8" s="336"/>
      <c r="EZ8" s="336"/>
      <c r="FA8" s="336"/>
      <c r="FB8" s="336"/>
    </row>
    <row r="9" spans="1:165" ht="56" customHeight="1" thickTop="1" thickBot="1" x14ac:dyDescent="0.35">
      <c r="A9" s="330"/>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7"/>
      <c r="AN9" s="317"/>
      <c r="AO9" s="511" t="e">
        <f t="shared" si="28"/>
        <v>#N/A</v>
      </c>
      <c r="AP9" s="511" t="e">
        <f t="shared" si="29"/>
        <v>#N/A</v>
      </c>
      <c r="AQ9" s="511" t="e">
        <f t="shared" si="30"/>
        <v>#N/A</v>
      </c>
      <c r="AR9" s="511" t="e">
        <f t="shared" si="31"/>
        <v>#N/A</v>
      </c>
      <c r="AS9" s="511" t="e">
        <f>HLOOKUP($C$1,'Inflation Adjustments'!$BI$3:$BT$4,2)*CR9</f>
        <v>#N/A</v>
      </c>
      <c r="AT9" s="317">
        <f>IF(BU9="In Service",'Maintenace Cost Assumptions'!$B$3*AS9,0)</f>
        <v>0</v>
      </c>
      <c r="AU9" s="318"/>
      <c r="AV9" s="318"/>
      <c r="AW9" s="318"/>
      <c r="AX9" s="318"/>
      <c r="AY9" s="318"/>
      <c r="AZ9" s="318"/>
      <c r="BA9" s="318"/>
      <c r="BB9" s="318"/>
      <c r="BC9" s="318"/>
      <c r="BD9" s="318"/>
      <c r="BE9" s="318"/>
      <c r="BF9" s="318"/>
      <c r="BG9" s="319">
        <f>(AU9*'Condition rating weights'!H$8+AV9*'Condition rating weights'!I$8+AW9*'Condition rating weights'!J$8+AX9*'Condition rating weights'!K$8+AY9*'Condition rating weights'!L$8+AZ9*'Condition rating weights'!M$8+BA9*'Condition rating weights'!N$8+BB9*'Condition rating weights'!O$8+BC9*'Condition rating weights'!P$8+BD9*'Condition rating weights'!Q$8+BE9*'Condition rating weights'!R$8+BF9*'Condition rating weights'!S$8)/100</f>
        <v>0</v>
      </c>
      <c r="BH9" s="333"/>
      <c r="BI9" s="333"/>
      <c r="BJ9" s="333"/>
      <c r="BK9" s="333"/>
      <c r="BL9" s="333"/>
      <c r="BM9" s="333"/>
      <c r="BN9" s="333"/>
      <c r="BO9" s="333"/>
      <c r="BP9" s="333"/>
      <c r="BQ9" s="333"/>
      <c r="BR9" s="333"/>
      <c r="BS9" s="333"/>
      <c r="BT9" s="334"/>
      <c r="BU9" s="335"/>
      <c r="BV9" s="255"/>
      <c r="BY9" s="306" t="str">
        <f>'GRC and TUL Assumptions'!A9</f>
        <v>Fitouts</v>
      </c>
      <c r="BZ9" s="305">
        <f>'GRC and TUL Assumptions'!C9</f>
        <v>250</v>
      </c>
      <c r="CA9" s="305">
        <f>'GRC and TUL Assumptions'!D9</f>
        <v>350</v>
      </c>
      <c r="CB9" s="305">
        <f>'GRC and TUL Assumptions'!E9</f>
        <v>500</v>
      </c>
      <c r="CC9" s="305">
        <v>0</v>
      </c>
      <c r="CD9" s="305">
        <f>'GRC and TUL Assumptions'!F9</f>
        <v>40</v>
      </c>
      <c r="CE9" s="305">
        <f>'GRC and TUL Assumptions'!G9</f>
        <v>60</v>
      </c>
      <c r="CF9" s="305">
        <f>'GRC and TUL Assumptions'!H9</f>
        <v>60</v>
      </c>
      <c r="CG9" s="305">
        <f t="shared" si="32"/>
        <v>40</v>
      </c>
      <c r="CH9" s="323" t="e">
        <f t="shared" si="5"/>
        <v>#N/A</v>
      </c>
      <c r="CI9" s="323" t="e">
        <f t="shared" si="6"/>
        <v>#N/A</v>
      </c>
      <c r="CJ9" s="323" t="e">
        <f t="shared" si="7"/>
        <v>#N/A</v>
      </c>
      <c r="CK9" s="323" t="e">
        <f t="shared" si="8"/>
        <v>#N/A</v>
      </c>
      <c r="CL9" s="323" t="e">
        <f t="shared" si="9"/>
        <v>#N/A</v>
      </c>
      <c r="CM9" s="323" t="e">
        <f t="shared" si="10"/>
        <v>#N/A</v>
      </c>
      <c r="CN9" s="323" t="e">
        <f t="shared" si="11"/>
        <v>#N/A</v>
      </c>
      <c r="CO9" s="323" t="e">
        <f t="shared" si="12"/>
        <v>#N/A</v>
      </c>
      <c r="CP9" s="323" t="e">
        <f t="shared" si="13"/>
        <v>#N/A</v>
      </c>
      <c r="CQ9" s="323" t="e">
        <f t="shared" si="14"/>
        <v>#N/A</v>
      </c>
      <c r="CR9" s="324" t="e">
        <f t="shared" si="33"/>
        <v>#N/A</v>
      </c>
      <c r="CS9" s="325" t="e">
        <f>(HLOOKUP($AI9,'Inflation Adjustments'!$B$3:$BT$4,2,TRUE))*CH9</f>
        <v>#N/A</v>
      </c>
      <c r="CT9" s="325" t="e">
        <f>(HLOOKUP($AI9,'Inflation Adjustments'!$B$3:$BT$4,2,TRUE))*CI9</f>
        <v>#N/A</v>
      </c>
      <c r="CU9" s="325" t="e">
        <f>(HLOOKUP($AI9,'Inflation Adjustments'!$B$3:$BT$4,2,TRUE))*CJ9</f>
        <v>#N/A</v>
      </c>
      <c r="CV9" s="325" t="e">
        <f>(HLOOKUP($AI9,'Inflation Adjustments'!$B$3:$BT$4,2,TRUE))*CK9</f>
        <v>#N/A</v>
      </c>
      <c r="CW9" s="325" t="e">
        <f>(HLOOKUP($AI9,'Inflation Adjustments'!$B$3:$BT$4,2,TRUE))*CL9</f>
        <v>#N/A</v>
      </c>
      <c r="CX9" s="325" t="e">
        <f>(HLOOKUP($AI9,'Inflation Adjustments'!$B$3:$BT$4,2,TRUE))*CM9</f>
        <v>#N/A</v>
      </c>
      <c r="CY9" s="325" t="e">
        <f>(HLOOKUP($AI9,'Inflation Adjustments'!$B$3:$BT$4,2,TRUE))*CN9</f>
        <v>#N/A</v>
      </c>
      <c r="CZ9" s="325" t="e">
        <f>(HLOOKUP($AI9,'Inflation Adjustments'!$B$3:$BT$4,2,TRUE))*CO9</f>
        <v>#N/A</v>
      </c>
      <c r="DA9" s="325" t="e">
        <f>(HLOOKUP($AI9,'Inflation Adjustments'!$B$3:$BT$4,2,TRUE))*CP9</f>
        <v>#N/A</v>
      </c>
      <c r="DB9" s="325" t="e">
        <f>(HLOOKUP($AI9,'Inflation Adjustments'!$B$3:$BT$4,2,TRUE))*CQ9</f>
        <v>#N/A</v>
      </c>
      <c r="DC9" s="325" t="e">
        <f t="shared" si="34"/>
        <v>#N/A</v>
      </c>
      <c r="DD9" s="326">
        <f t="shared" si="15"/>
        <v>2022</v>
      </c>
      <c r="DE9" s="323" t="e">
        <f t="shared" si="16"/>
        <v>#N/A</v>
      </c>
      <c r="DF9" s="323" t="e">
        <f t="shared" si="17"/>
        <v>#N/A</v>
      </c>
      <c r="DG9" s="323" t="e">
        <f t="shared" si="18"/>
        <v>#N/A</v>
      </c>
      <c r="DH9" s="323" t="e">
        <f t="shared" si="19"/>
        <v>#N/A</v>
      </c>
      <c r="DI9" s="323" t="e">
        <f t="shared" si="20"/>
        <v>#N/A</v>
      </c>
      <c r="DJ9" s="323" t="e">
        <f t="shared" si="21"/>
        <v>#N/A</v>
      </c>
      <c r="DK9" s="323" t="e">
        <f t="shared" si="22"/>
        <v>#N/A</v>
      </c>
      <c r="DL9" s="323" t="e">
        <f t="shared" si="22"/>
        <v>#N/A</v>
      </c>
      <c r="DM9" s="323" t="e">
        <f t="shared" si="23"/>
        <v>#N/A</v>
      </c>
      <c r="DN9" s="323" t="e">
        <f t="shared" si="24"/>
        <v>#N/A</v>
      </c>
      <c r="DO9" s="327" t="e">
        <f t="shared" si="25"/>
        <v>#N/A</v>
      </c>
      <c r="DP9" s="327" t="e">
        <f t="shared" si="25"/>
        <v>#N/A</v>
      </c>
      <c r="DQ9" s="327" t="e">
        <f t="shared" si="25"/>
        <v>#N/A</v>
      </c>
      <c r="DR9" s="327" t="e">
        <f t="shared" si="25"/>
        <v>#N/A</v>
      </c>
      <c r="DS9" s="327" t="e">
        <f t="shared" si="25"/>
        <v>#N/A</v>
      </c>
      <c r="DT9" s="327" t="e">
        <f t="shared" si="25"/>
        <v>#N/A</v>
      </c>
      <c r="DU9" s="327" t="e">
        <f t="shared" si="25"/>
        <v>#N/A</v>
      </c>
      <c r="DV9" s="327" t="e">
        <f t="shared" si="25"/>
        <v>#N/A</v>
      </c>
      <c r="DW9" s="327" t="e">
        <f t="shared" si="25"/>
        <v>#N/A</v>
      </c>
      <c r="DX9" s="327" t="e">
        <f t="shared" si="25"/>
        <v>#N/A</v>
      </c>
      <c r="DY9" s="327" t="e">
        <f t="shared" si="35"/>
        <v>#N/A</v>
      </c>
      <c r="DZ9" s="323" t="e">
        <f t="shared" si="26"/>
        <v>#N/A</v>
      </c>
      <c r="EA9" s="323" t="e">
        <f t="shared" si="26"/>
        <v>#N/A</v>
      </c>
      <c r="EB9" s="323" t="e">
        <f t="shared" si="26"/>
        <v>#N/A</v>
      </c>
      <c r="EC9" s="323" t="e">
        <f t="shared" si="26"/>
        <v>#N/A</v>
      </c>
      <c r="ED9" s="323" t="e">
        <f t="shared" si="26"/>
        <v>#N/A</v>
      </c>
      <c r="EE9" s="323" t="e">
        <f t="shared" si="26"/>
        <v>#N/A</v>
      </c>
      <c r="EF9" s="323" t="e">
        <f t="shared" si="26"/>
        <v>#N/A</v>
      </c>
      <c r="EG9" s="323" t="e">
        <f t="shared" si="26"/>
        <v>#N/A</v>
      </c>
      <c r="EH9" s="323" t="e">
        <f t="shared" si="26"/>
        <v>#N/A</v>
      </c>
      <c r="EI9" s="323" t="e">
        <f t="shared" si="26"/>
        <v>#N/A</v>
      </c>
      <c r="EJ9" s="324" t="e">
        <f t="shared" si="36"/>
        <v>#N/A</v>
      </c>
      <c r="EK9" s="327" t="e">
        <f t="shared" si="27"/>
        <v>#N/A</v>
      </c>
      <c r="EL9" s="327" t="e">
        <f t="shared" si="27"/>
        <v>#N/A</v>
      </c>
      <c r="EM9" s="327" t="e">
        <f t="shared" si="27"/>
        <v>#N/A</v>
      </c>
      <c r="EN9" s="327" t="e">
        <f t="shared" si="27"/>
        <v>#N/A</v>
      </c>
      <c r="EO9" s="327" t="e">
        <f t="shared" si="27"/>
        <v>#N/A</v>
      </c>
      <c r="EP9" s="327" t="e">
        <f t="shared" si="27"/>
        <v>#N/A</v>
      </c>
      <c r="EQ9" s="327" t="e">
        <f t="shared" si="27"/>
        <v>#N/A</v>
      </c>
      <c r="ER9" s="327" t="e">
        <f t="shared" si="27"/>
        <v>#N/A</v>
      </c>
      <c r="ES9" s="327" t="e">
        <f t="shared" si="27"/>
        <v>#N/A</v>
      </c>
      <c r="ET9" s="327" t="e">
        <f t="shared" si="27"/>
        <v>#N/A</v>
      </c>
      <c r="EU9" s="325" t="e">
        <f t="shared" si="37"/>
        <v>#N/A</v>
      </c>
      <c r="EV9" s="336"/>
      <c r="EW9" s="336"/>
      <c r="EX9" s="336"/>
      <c r="EY9" s="336"/>
      <c r="EZ9" s="336"/>
      <c r="FA9" s="336"/>
      <c r="FB9" s="336"/>
    </row>
    <row r="10" spans="1:165" ht="56" customHeight="1" thickTop="1" thickBot="1" x14ac:dyDescent="0.35">
      <c r="A10" s="330"/>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7"/>
      <c r="AN10" s="317"/>
      <c r="AO10" s="511" t="e">
        <f t="shared" si="28"/>
        <v>#N/A</v>
      </c>
      <c r="AP10" s="511" t="e">
        <f t="shared" si="29"/>
        <v>#N/A</v>
      </c>
      <c r="AQ10" s="511" t="e">
        <f t="shared" si="30"/>
        <v>#N/A</v>
      </c>
      <c r="AR10" s="511" t="e">
        <f t="shared" si="31"/>
        <v>#N/A</v>
      </c>
      <c r="AS10" s="511" t="e">
        <f>HLOOKUP($C$1,'Inflation Adjustments'!$BI$3:$BT$4,2)*CR10</f>
        <v>#N/A</v>
      </c>
      <c r="AT10" s="317">
        <f>IF(BU10="In Service",'Maintenace Cost Assumptions'!$B$3*AS10,0)</f>
        <v>0</v>
      </c>
      <c r="AU10" s="318"/>
      <c r="AV10" s="318"/>
      <c r="AW10" s="318"/>
      <c r="AX10" s="318"/>
      <c r="AY10" s="318"/>
      <c r="AZ10" s="318"/>
      <c r="BA10" s="318"/>
      <c r="BB10" s="318"/>
      <c r="BC10" s="318"/>
      <c r="BD10" s="318"/>
      <c r="BE10" s="318"/>
      <c r="BF10" s="318"/>
      <c r="BG10" s="319">
        <f>(AU10*'Condition rating weights'!H$8+AV10*'Condition rating weights'!I$8+AW10*'Condition rating weights'!J$8+AX10*'Condition rating weights'!K$8+AY10*'Condition rating weights'!L$8+AZ10*'Condition rating weights'!M$8+BA10*'Condition rating weights'!N$8+BB10*'Condition rating weights'!O$8+BC10*'Condition rating weights'!P$8+BD10*'Condition rating weights'!Q$8+BE10*'Condition rating weights'!R$8+BF10*'Condition rating weights'!S$8)/100</f>
        <v>0</v>
      </c>
      <c r="BH10" s="333"/>
      <c r="BI10" s="333"/>
      <c r="BJ10" s="333"/>
      <c r="BK10" s="333"/>
      <c r="BL10" s="333"/>
      <c r="BM10" s="333"/>
      <c r="BN10" s="333"/>
      <c r="BO10" s="333"/>
      <c r="BP10" s="333"/>
      <c r="BQ10" s="333"/>
      <c r="BR10" s="333"/>
      <c r="BS10" s="333"/>
      <c r="BT10" s="334"/>
      <c r="BU10" s="335"/>
      <c r="BV10" s="255"/>
      <c r="BY10" s="306" t="str">
        <f>'GRC and TUL Assumptions'!A10</f>
        <v>Floor Covering</v>
      </c>
      <c r="BZ10" s="305">
        <f>'GRC and TUL Assumptions'!C10</f>
        <v>100</v>
      </c>
      <c r="CA10" s="305">
        <f>'GRC and TUL Assumptions'!D10</f>
        <v>150</v>
      </c>
      <c r="CB10" s="305">
        <f>'GRC and TUL Assumptions'!E10</f>
        <v>300</v>
      </c>
      <c r="CC10" s="305">
        <v>0</v>
      </c>
      <c r="CD10" s="305">
        <f>'GRC and TUL Assumptions'!F10</f>
        <v>20</v>
      </c>
      <c r="CE10" s="305">
        <f>'GRC and TUL Assumptions'!G10</f>
        <v>30</v>
      </c>
      <c r="CF10" s="305">
        <f>'GRC and TUL Assumptions'!H10</f>
        <v>40</v>
      </c>
      <c r="CG10" s="305">
        <f t="shared" si="32"/>
        <v>20</v>
      </c>
      <c r="CH10" s="323" t="e">
        <f t="shared" si="5"/>
        <v>#N/A</v>
      </c>
      <c r="CI10" s="323" t="e">
        <f t="shared" si="6"/>
        <v>#N/A</v>
      </c>
      <c r="CJ10" s="323" t="e">
        <f t="shared" si="7"/>
        <v>#N/A</v>
      </c>
      <c r="CK10" s="323" t="e">
        <f t="shared" si="8"/>
        <v>#N/A</v>
      </c>
      <c r="CL10" s="323" t="e">
        <f t="shared" si="9"/>
        <v>#N/A</v>
      </c>
      <c r="CM10" s="323" t="e">
        <f t="shared" si="10"/>
        <v>#N/A</v>
      </c>
      <c r="CN10" s="323" t="e">
        <f t="shared" si="11"/>
        <v>#N/A</v>
      </c>
      <c r="CO10" s="323" t="e">
        <f t="shared" si="12"/>
        <v>#N/A</v>
      </c>
      <c r="CP10" s="323" t="e">
        <f t="shared" si="13"/>
        <v>#N/A</v>
      </c>
      <c r="CQ10" s="323" t="e">
        <f t="shared" si="14"/>
        <v>#N/A</v>
      </c>
      <c r="CR10" s="324" t="e">
        <f t="shared" si="33"/>
        <v>#N/A</v>
      </c>
      <c r="CS10" s="325" t="e">
        <f>(HLOOKUP($AI10,'Inflation Adjustments'!$B$3:$BT$4,2,TRUE))*CH10</f>
        <v>#N/A</v>
      </c>
      <c r="CT10" s="325" t="e">
        <f>(HLOOKUP($AI10,'Inflation Adjustments'!$B$3:$BT$4,2,TRUE))*CI10</f>
        <v>#N/A</v>
      </c>
      <c r="CU10" s="325" t="e">
        <f>(HLOOKUP($AI10,'Inflation Adjustments'!$B$3:$BT$4,2,TRUE))*CJ10</f>
        <v>#N/A</v>
      </c>
      <c r="CV10" s="325" t="e">
        <f>(HLOOKUP($AI10,'Inflation Adjustments'!$B$3:$BT$4,2,TRUE))*CK10</f>
        <v>#N/A</v>
      </c>
      <c r="CW10" s="325" t="e">
        <f>(HLOOKUP($AI10,'Inflation Adjustments'!$B$3:$BT$4,2,TRUE))*CL10</f>
        <v>#N/A</v>
      </c>
      <c r="CX10" s="325" t="e">
        <f>(HLOOKUP($AI10,'Inflation Adjustments'!$B$3:$BT$4,2,TRUE))*CM10</f>
        <v>#N/A</v>
      </c>
      <c r="CY10" s="325" t="e">
        <f>(HLOOKUP($AI10,'Inflation Adjustments'!$B$3:$BT$4,2,TRUE))*CN10</f>
        <v>#N/A</v>
      </c>
      <c r="CZ10" s="325" t="e">
        <f>(HLOOKUP($AI10,'Inflation Adjustments'!$B$3:$BT$4,2,TRUE))*CO10</f>
        <v>#N/A</v>
      </c>
      <c r="DA10" s="325" t="e">
        <f>(HLOOKUP($AI10,'Inflation Adjustments'!$B$3:$BT$4,2,TRUE))*CP10</f>
        <v>#N/A</v>
      </c>
      <c r="DB10" s="325" t="e">
        <f>(HLOOKUP($AI10,'Inflation Adjustments'!$B$3:$BT$4,2,TRUE))*CQ10</f>
        <v>#N/A</v>
      </c>
      <c r="DC10" s="325" t="e">
        <f t="shared" si="34"/>
        <v>#N/A</v>
      </c>
      <c r="DD10" s="326">
        <f t="shared" si="15"/>
        <v>2022</v>
      </c>
      <c r="DE10" s="323" t="e">
        <f t="shared" si="16"/>
        <v>#N/A</v>
      </c>
      <c r="DF10" s="323" t="e">
        <f t="shared" si="17"/>
        <v>#N/A</v>
      </c>
      <c r="DG10" s="323" t="e">
        <f t="shared" si="18"/>
        <v>#N/A</v>
      </c>
      <c r="DH10" s="323" t="e">
        <f t="shared" si="19"/>
        <v>#N/A</v>
      </c>
      <c r="DI10" s="323" t="e">
        <f t="shared" si="20"/>
        <v>#N/A</v>
      </c>
      <c r="DJ10" s="323" t="e">
        <f t="shared" si="21"/>
        <v>#N/A</v>
      </c>
      <c r="DK10" s="323" t="e">
        <f t="shared" si="22"/>
        <v>#N/A</v>
      </c>
      <c r="DL10" s="323" t="e">
        <f t="shared" si="22"/>
        <v>#N/A</v>
      </c>
      <c r="DM10" s="323" t="e">
        <f t="shared" si="23"/>
        <v>#N/A</v>
      </c>
      <c r="DN10" s="323" t="e">
        <f t="shared" si="24"/>
        <v>#N/A</v>
      </c>
      <c r="DO10" s="327" t="e">
        <f t="shared" si="25"/>
        <v>#N/A</v>
      </c>
      <c r="DP10" s="327" t="e">
        <f t="shared" si="25"/>
        <v>#N/A</v>
      </c>
      <c r="DQ10" s="327" t="e">
        <f t="shared" si="25"/>
        <v>#N/A</v>
      </c>
      <c r="DR10" s="327" t="e">
        <f t="shared" si="25"/>
        <v>#N/A</v>
      </c>
      <c r="DS10" s="327" t="e">
        <f t="shared" si="25"/>
        <v>#N/A</v>
      </c>
      <c r="DT10" s="327" t="e">
        <f t="shared" si="25"/>
        <v>#N/A</v>
      </c>
      <c r="DU10" s="327" t="e">
        <f t="shared" si="25"/>
        <v>#N/A</v>
      </c>
      <c r="DV10" s="327" t="e">
        <f t="shared" si="25"/>
        <v>#N/A</v>
      </c>
      <c r="DW10" s="327" t="e">
        <f t="shared" si="25"/>
        <v>#N/A</v>
      </c>
      <c r="DX10" s="327" t="e">
        <f t="shared" si="25"/>
        <v>#N/A</v>
      </c>
      <c r="DY10" s="327" t="e">
        <f t="shared" si="35"/>
        <v>#N/A</v>
      </c>
      <c r="DZ10" s="323" t="e">
        <f t="shared" si="26"/>
        <v>#N/A</v>
      </c>
      <c r="EA10" s="323" t="e">
        <f t="shared" si="26"/>
        <v>#N/A</v>
      </c>
      <c r="EB10" s="323" t="e">
        <f t="shared" si="26"/>
        <v>#N/A</v>
      </c>
      <c r="EC10" s="323" t="e">
        <f t="shared" si="26"/>
        <v>#N/A</v>
      </c>
      <c r="ED10" s="323" t="e">
        <f t="shared" si="26"/>
        <v>#N/A</v>
      </c>
      <c r="EE10" s="323" t="e">
        <f t="shared" si="26"/>
        <v>#N/A</v>
      </c>
      <c r="EF10" s="323" t="e">
        <f t="shared" si="26"/>
        <v>#N/A</v>
      </c>
      <c r="EG10" s="323" t="e">
        <f t="shared" si="26"/>
        <v>#N/A</v>
      </c>
      <c r="EH10" s="323" t="e">
        <f t="shared" si="26"/>
        <v>#N/A</v>
      </c>
      <c r="EI10" s="323" t="e">
        <f t="shared" si="26"/>
        <v>#N/A</v>
      </c>
      <c r="EJ10" s="324" t="e">
        <f t="shared" si="36"/>
        <v>#N/A</v>
      </c>
      <c r="EK10" s="327" t="e">
        <f t="shared" si="27"/>
        <v>#N/A</v>
      </c>
      <c r="EL10" s="327" t="e">
        <f t="shared" si="27"/>
        <v>#N/A</v>
      </c>
      <c r="EM10" s="327" t="e">
        <f t="shared" si="27"/>
        <v>#N/A</v>
      </c>
      <c r="EN10" s="327" t="e">
        <f t="shared" si="27"/>
        <v>#N/A</v>
      </c>
      <c r="EO10" s="327" t="e">
        <f t="shared" si="27"/>
        <v>#N/A</v>
      </c>
      <c r="EP10" s="327" t="e">
        <f t="shared" si="27"/>
        <v>#N/A</v>
      </c>
      <c r="EQ10" s="327" t="e">
        <f t="shared" si="27"/>
        <v>#N/A</v>
      </c>
      <c r="ER10" s="327" t="e">
        <f t="shared" si="27"/>
        <v>#N/A</v>
      </c>
      <c r="ES10" s="327" t="e">
        <f t="shared" si="27"/>
        <v>#N/A</v>
      </c>
      <c r="ET10" s="327" t="e">
        <f t="shared" si="27"/>
        <v>#N/A</v>
      </c>
      <c r="EU10" s="325" t="e">
        <f t="shared" si="37"/>
        <v>#N/A</v>
      </c>
      <c r="EV10" s="336"/>
      <c r="EW10" s="336"/>
      <c r="EX10" s="336"/>
      <c r="EY10" s="336"/>
      <c r="EZ10" s="336"/>
      <c r="FA10" s="336"/>
      <c r="FB10" s="336"/>
    </row>
    <row r="11" spans="1:165" ht="56" customHeight="1" thickTop="1" thickBot="1" x14ac:dyDescent="0.35">
      <c r="A11" s="330"/>
      <c r="B11" s="318"/>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7"/>
      <c r="AN11" s="317"/>
      <c r="AO11" s="511" t="e">
        <f t="shared" si="28"/>
        <v>#N/A</v>
      </c>
      <c r="AP11" s="511" t="e">
        <f t="shared" si="29"/>
        <v>#N/A</v>
      </c>
      <c r="AQ11" s="511" t="e">
        <f t="shared" si="30"/>
        <v>#N/A</v>
      </c>
      <c r="AR11" s="511" t="e">
        <f t="shared" si="31"/>
        <v>#N/A</v>
      </c>
      <c r="AS11" s="511" t="e">
        <f>HLOOKUP($C$1,'Inflation Adjustments'!$BI$3:$BT$4,2)*CR11</f>
        <v>#N/A</v>
      </c>
      <c r="AT11" s="317">
        <f>IF(BU11="In Service",'Maintenace Cost Assumptions'!$B$3*AS11,0)</f>
        <v>0</v>
      </c>
      <c r="AU11" s="318"/>
      <c r="AV11" s="318"/>
      <c r="AW11" s="318"/>
      <c r="AX11" s="318"/>
      <c r="AY11" s="318"/>
      <c r="AZ11" s="318"/>
      <c r="BA11" s="318"/>
      <c r="BB11" s="318"/>
      <c r="BC11" s="318"/>
      <c r="BD11" s="318"/>
      <c r="BE11" s="318"/>
      <c r="BF11" s="318"/>
      <c r="BG11" s="319">
        <f>(AU11*'Condition rating weights'!H$8+AV11*'Condition rating weights'!I$8+AW11*'Condition rating weights'!J$8+AX11*'Condition rating weights'!K$8+AY11*'Condition rating weights'!L$8+AZ11*'Condition rating weights'!M$8+BA11*'Condition rating weights'!N$8+BB11*'Condition rating weights'!O$8+BC11*'Condition rating weights'!P$8+BD11*'Condition rating weights'!Q$8+BE11*'Condition rating weights'!R$8+BF11*'Condition rating weights'!S$8)/100</f>
        <v>0</v>
      </c>
      <c r="BH11" s="333"/>
      <c r="BI11" s="333"/>
      <c r="BJ11" s="333"/>
      <c r="BK11" s="333"/>
      <c r="BL11" s="333"/>
      <c r="BM11" s="333"/>
      <c r="BN11" s="333"/>
      <c r="BO11" s="333"/>
      <c r="BP11" s="333"/>
      <c r="BQ11" s="333"/>
      <c r="BR11" s="333"/>
      <c r="BS11" s="333"/>
      <c r="BT11" s="334"/>
      <c r="BU11" s="335"/>
      <c r="BV11" s="255"/>
      <c r="BY11" s="306" t="str">
        <f>'GRC and TUL Assumptions'!A11</f>
        <v>Service Mechanical</v>
      </c>
      <c r="BZ11" s="305">
        <f>'GRC and TUL Assumptions'!C11</f>
        <v>80</v>
      </c>
      <c r="CA11" s="305">
        <f>'GRC and TUL Assumptions'!D11</f>
        <v>100</v>
      </c>
      <c r="CB11" s="305">
        <f>'GRC and TUL Assumptions'!E11</f>
        <v>150</v>
      </c>
      <c r="CC11" s="305">
        <v>0</v>
      </c>
      <c r="CD11" s="305">
        <f>'GRC and TUL Assumptions'!F11</f>
        <v>10</v>
      </c>
      <c r="CE11" s="305">
        <f>'GRC and TUL Assumptions'!G11</f>
        <v>20</v>
      </c>
      <c r="CF11" s="305">
        <f>'GRC and TUL Assumptions'!H11</f>
        <v>30</v>
      </c>
      <c r="CG11" s="305">
        <f t="shared" si="32"/>
        <v>10</v>
      </c>
      <c r="CH11" s="323" t="e">
        <f t="shared" si="5"/>
        <v>#N/A</v>
      </c>
      <c r="CI11" s="323" t="e">
        <f t="shared" si="6"/>
        <v>#N/A</v>
      </c>
      <c r="CJ11" s="323" t="e">
        <f t="shared" si="7"/>
        <v>#N/A</v>
      </c>
      <c r="CK11" s="323" t="e">
        <f t="shared" si="8"/>
        <v>#N/A</v>
      </c>
      <c r="CL11" s="323" t="e">
        <f t="shared" si="9"/>
        <v>#N/A</v>
      </c>
      <c r="CM11" s="323" t="e">
        <f t="shared" si="10"/>
        <v>#N/A</v>
      </c>
      <c r="CN11" s="323" t="e">
        <f t="shared" si="11"/>
        <v>#N/A</v>
      </c>
      <c r="CO11" s="323" t="e">
        <f t="shared" si="12"/>
        <v>#N/A</v>
      </c>
      <c r="CP11" s="323" t="e">
        <f t="shared" si="13"/>
        <v>#N/A</v>
      </c>
      <c r="CQ11" s="323" t="e">
        <f t="shared" si="14"/>
        <v>#N/A</v>
      </c>
      <c r="CR11" s="324" t="e">
        <f t="shared" si="33"/>
        <v>#N/A</v>
      </c>
      <c r="CS11" s="325" t="e">
        <f>(HLOOKUP($AI11,'Inflation Adjustments'!$B$3:$BT$4,2,TRUE))*CH11</f>
        <v>#N/A</v>
      </c>
      <c r="CT11" s="325" t="e">
        <f>(HLOOKUP($AI11,'Inflation Adjustments'!$B$3:$BT$4,2,TRUE))*CI11</f>
        <v>#N/A</v>
      </c>
      <c r="CU11" s="325" t="e">
        <f>(HLOOKUP($AI11,'Inflation Adjustments'!$B$3:$BT$4,2,TRUE))*CJ11</f>
        <v>#N/A</v>
      </c>
      <c r="CV11" s="325" t="e">
        <f>(HLOOKUP($AI11,'Inflation Adjustments'!$B$3:$BT$4,2,TRUE))*CK11</f>
        <v>#N/A</v>
      </c>
      <c r="CW11" s="325" t="e">
        <f>(HLOOKUP($AI11,'Inflation Adjustments'!$B$3:$BT$4,2,TRUE))*CL11</f>
        <v>#N/A</v>
      </c>
      <c r="CX11" s="325" t="e">
        <f>(HLOOKUP($AI11,'Inflation Adjustments'!$B$3:$BT$4,2,TRUE))*CM11</f>
        <v>#N/A</v>
      </c>
      <c r="CY11" s="325" t="e">
        <f>(HLOOKUP($AI11,'Inflation Adjustments'!$B$3:$BT$4,2,TRUE))*CN11</f>
        <v>#N/A</v>
      </c>
      <c r="CZ11" s="325" t="e">
        <f>(HLOOKUP($AI11,'Inflation Adjustments'!$B$3:$BT$4,2,TRUE))*CO11</f>
        <v>#N/A</v>
      </c>
      <c r="DA11" s="325" t="e">
        <f>(HLOOKUP($AI11,'Inflation Adjustments'!$B$3:$BT$4,2,TRUE))*CP11</f>
        <v>#N/A</v>
      </c>
      <c r="DB11" s="325" t="e">
        <f>(HLOOKUP($AI11,'Inflation Adjustments'!$B$3:$BT$4,2,TRUE))*CQ11</f>
        <v>#N/A</v>
      </c>
      <c r="DC11" s="325" t="e">
        <f t="shared" si="34"/>
        <v>#N/A</v>
      </c>
      <c r="DD11" s="326">
        <f t="shared" si="15"/>
        <v>2022</v>
      </c>
      <c r="DE11" s="323" t="e">
        <f t="shared" si="16"/>
        <v>#N/A</v>
      </c>
      <c r="DF11" s="323" t="e">
        <f t="shared" si="17"/>
        <v>#N/A</v>
      </c>
      <c r="DG11" s="323" t="e">
        <f t="shared" si="18"/>
        <v>#N/A</v>
      </c>
      <c r="DH11" s="323" t="e">
        <f t="shared" si="19"/>
        <v>#N/A</v>
      </c>
      <c r="DI11" s="323" t="e">
        <f t="shared" si="20"/>
        <v>#N/A</v>
      </c>
      <c r="DJ11" s="323" t="e">
        <f t="shared" si="21"/>
        <v>#N/A</v>
      </c>
      <c r="DK11" s="323" t="e">
        <f t="shared" si="22"/>
        <v>#N/A</v>
      </c>
      <c r="DL11" s="323" t="e">
        <f t="shared" si="22"/>
        <v>#N/A</v>
      </c>
      <c r="DM11" s="323" t="e">
        <f t="shared" si="23"/>
        <v>#N/A</v>
      </c>
      <c r="DN11" s="323" t="e">
        <f t="shared" si="24"/>
        <v>#N/A</v>
      </c>
      <c r="DO11" s="327" t="e">
        <f t="shared" si="25"/>
        <v>#N/A</v>
      </c>
      <c r="DP11" s="327" t="e">
        <f t="shared" si="25"/>
        <v>#N/A</v>
      </c>
      <c r="DQ11" s="327" t="e">
        <f t="shared" si="25"/>
        <v>#N/A</v>
      </c>
      <c r="DR11" s="327" t="e">
        <f t="shared" si="25"/>
        <v>#N/A</v>
      </c>
      <c r="DS11" s="327" t="e">
        <f t="shared" si="25"/>
        <v>#N/A</v>
      </c>
      <c r="DT11" s="327" t="e">
        <f t="shared" si="25"/>
        <v>#N/A</v>
      </c>
      <c r="DU11" s="327" t="e">
        <f t="shared" si="25"/>
        <v>#N/A</v>
      </c>
      <c r="DV11" s="327" t="e">
        <f t="shared" si="25"/>
        <v>#N/A</v>
      </c>
      <c r="DW11" s="327" t="e">
        <f t="shared" si="25"/>
        <v>#N/A</v>
      </c>
      <c r="DX11" s="327" t="e">
        <f t="shared" si="25"/>
        <v>#N/A</v>
      </c>
      <c r="DY11" s="327" t="e">
        <f t="shared" si="35"/>
        <v>#N/A</v>
      </c>
      <c r="DZ11" s="323" t="e">
        <f t="shared" si="26"/>
        <v>#N/A</v>
      </c>
      <c r="EA11" s="323" t="e">
        <f t="shared" si="26"/>
        <v>#N/A</v>
      </c>
      <c r="EB11" s="323" t="e">
        <f t="shared" si="26"/>
        <v>#N/A</v>
      </c>
      <c r="EC11" s="323" t="e">
        <f t="shared" si="26"/>
        <v>#N/A</v>
      </c>
      <c r="ED11" s="323" t="e">
        <f t="shared" si="26"/>
        <v>#N/A</v>
      </c>
      <c r="EE11" s="323" t="e">
        <f t="shared" si="26"/>
        <v>#N/A</v>
      </c>
      <c r="EF11" s="323" t="e">
        <f t="shared" si="26"/>
        <v>#N/A</v>
      </c>
      <c r="EG11" s="323" t="e">
        <f t="shared" si="26"/>
        <v>#N/A</v>
      </c>
      <c r="EH11" s="323" t="e">
        <f t="shared" si="26"/>
        <v>#N/A</v>
      </c>
      <c r="EI11" s="323" t="e">
        <f t="shared" si="26"/>
        <v>#N/A</v>
      </c>
      <c r="EJ11" s="324" t="e">
        <f t="shared" si="36"/>
        <v>#N/A</v>
      </c>
      <c r="EK11" s="327" t="e">
        <f t="shared" si="27"/>
        <v>#N/A</v>
      </c>
      <c r="EL11" s="327" t="e">
        <f t="shared" si="27"/>
        <v>#N/A</v>
      </c>
      <c r="EM11" s="327" t="e">
        <f t="shared" si="27"/>
        <v>#N/A</v>
      </c>
      <c r="EN11" s="327" t="e">
        <f t="shared" si="27"/>
        <v>#N/A</v>
      </c>
      <c r="EO11" s="327" t="e">
        <f t="shared" si="27"/>
        <v>#N/A</v>
      </c>
      <c r="EP11" s="327" t="e">
        <f t="shared" si="27"/>
        <v>#N/A</v>
      </c>
      <c r="EQ11" s="327" t="e">
        <f t="shared" si="27"/>
        <v>#N/A</v>
      </c>
      <c r="ER11" s="327" t="e">
        <f t="shared" si="27"/>
        <v>#N/A</v>
      </c>
      <c r="ES11" s="327" t="e">
        <f t="shared" si="27"/>
        <v>#N/A</v>
      </c>
      <c r="ET11" s="327" t="e">
        <f t="shared" si="27"/>
        <v>#N/A</v>
      </c>
      <c r="EU11" s="325" t="e">
        <f t="shared" si="37"/>
        <v>#N/A</v>
      </c>
      <c r="EV11" s="336"/>
      <c r="EW11" s="336"/>
      <c r="EX11" s="336"/>
      <c r="EY11" s="336"/>
      <c r="EZ11" s="336"/>
      <c r="FA11" s="336"/>
      <c r="FB11" s="336"/>
    </row>
    <row r="12" spans="1:165" ht="56" customHeight="1" thickTop="1" thickBot="1" x14ac:dyDescent="0.35">
      <c r="A12" s="330"/>
      <c r="B12" s="318"/>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7"/>
      <c r="AN12" s="317"/>
      <c r="AO12" s="511" t="e">
        <f t="shared" si="28"/>
        <v>#N/A</v>
      </c>
      <c r="AP12" s="511" t="e">
        <f t="shared" si="29"/>
        <v>#N/A</v>
      </c>
      <c r="AQ12" s="511" t="e">
        <f t="shared" si="30"/>
        <v>#N/A</v>
      </c>
      <c r="AR12" s="511" t="e">
        <f t="shared" si="31"/>
        <v>#N/A</v>
      </c>
      <c r="AS12" s="511" t="e">
        <f>HLOOKUP($C$1,'Inflation Adjustments'!$BI$3:$BT$4,2)*CR12</f>
        <v>#N/A</v>
      </c>
      <c r="AT12" s="317">
        <f>IF(BU12="In Service",'Maintenace Cost Assumptions'!$B$3*AS12,0)</f>
        <v>0</v>
      </c>
      <c r="AU12" s="318"/>
      <c r="AV12" s="318"/>
      <c r="AW12" s="318"/>
      <c r="AX12" s="318"/>
      <c r="AY12" s="318"/>
      <c r="AZ12" s="318"/>
      <c r="BA12" s="318"/>
      <c r="BB12" s="318"/>
      <c r="BC12" s="318"/>
      <c r="BD12" s="318"/>
      <c r="BE12" s="318"/>
      <c r="BF12" s="318"/>
      <c r="BG12" s="319">
        <f>(AU12*'Condition rating weights'!H$8+AV12*'Condition rating weights'!I$8+AW12*'Condition rating weights'!J$8+AX12*'Condition rating weights'!K$8+AY12*'Condition rating weights'!L$8+AZ12*'Condition rating weights'!M$8+BA12*'Condition rating weights'!N$8+BB12*'Condition rating weights'!O$8+BC12*'Condition rating weights'!P$8+BD12*'Condition rating weights'!Q$8+BE12*'Condition rating weights'!R$8+BF12*'Condition rating weights'!S$8)/100</f>
        <v>0</v>
      </c>
      <c r="BH12" s="333"/>
      <c r="BI12" s="333"/>
      <c r="BJ12" s="333"/>
      <c r="BK12" s="333"/>
      <c r="BL12" s="333"/>
      <c r="BM12" s="333"/>
      <c r="BN12" s="333"/>
      <c r="BO12" s="333"/>
      <c r="BP12" s="333"/>
      <c r="BQ12" s="333"/>
      <c r="BR12" s="333"/>
      <c r="BS12" s="333"/>
      <c r="BT12" s="334"/>
      <c r="BU12" s="335"/>
      <c r="BV12" s="255"/>
      <c r="BY12" s="306" t="str">
        <f>'GRC and TUL Assumptions'!A12</f>
        <v>Services Electrical</v>
      </c>
      <c r="BZ12" s="305">
        <f>'GRC and TUL Assumptions'!C12</f>
        <v>80</v>
      </c>
      <c r="CA12" s="305">
        <f>'GRC and TUL Assumptions'!D12</f>
        <v>100</v>
      </c>
      <c r="CB12" s="305">
        <f>'GRC and TUL Assumptions'!E12</f>
        <v>150</v>
      </c>
      <c r="CC12" s="305">
        <v>0</v>
      </c>
      <c r="CD12" s="305">
        <f>'GRC and TUL Assumptions'!F12</f>
        <v>20</v>
      </c>
      <c r="CE12" s="305">
        <f>'GRC and TUL Assumptions'!G12</f>
        <v>30</v>
      </c>
      <c r="CF12" s="305">
        <f>'GRC and TUL Assumptions'!H12</f>
        <v>40</v>
      </c>
      <c r="CG12" s="305">
        <f t="shared" si="32"/>
        <v>20</v>
      </c>
      <c r="CH12" s="323" t="e">
        <f t="shared" si="5"/>
        <v>#N/A</v>
      </c>
      <c r="CI12" s="323" t="e">
        <f t="shared" si="6"/>
        <v>#N/A</v>
      </c>
      <c r="CJ12" s="323" t="e">
        <f t="shared" si="7"/>
        <v>#N/A</v>
      </c>
      <c r="CK12" s="323" t="e">
        <f t="shared" si="8"/>
        <v>#N/A</v>
      </c>
      <c r="CL12" s="323" t="e">
        <f t="shared" si="9"/>
        <v>#N/A</v>
      </c>
      <c r="CM12" s="323" t="e">
        <f t="shared" si="10"/>
        <v>#N/A</v>
      </c>
      <c r="CN12" s="323" t="e">
        <f t="shared" si="11"/>
        <v>#N/A</v>
      </c>
      <c r="CO12" s="323" t="e">
        <f t="shared" si="12"/>
        <v>#N/A</v>
      </c>
      <c r="CP12" s="323" t="e">
        <f t="shared" si="13"/>
        <v>#N/A</v>
      </c>
      <c r="CQ12" s="323" t="e">
        <f t="shared" si="14"/>
        <v>#N/A</v>
      </c>
      <c r="CR12" s="324" t="e">
        <f t="shared" si="33"/>
        <v>#N/A</v>
      </c>
      <c r="CS12" s="325" t="e">
        <f>(HLOOKUP($AI12,'Inflation Adjustments'!$B$3:$BT$4,2,TRUE))*CH12</f>
        <v>#N/A</v>
      </c>
      <c r="CT12" s="325" t="e">
        <f>(HLOOKUP($AI12,'Inflation Adjustments'!$B$3:$BT$4,2,TRUE))*CI12</f>
        <v>#N/A</v>
      </c>
      <c r="CU12" s="325" t="e">
        <f>(HLOOKUP($AI12,'Inflation Adjustments'!$B$3:$BT$4,2,TRUE))*CJ12</f>
        <v>#N/A</v>
      </c>
      <c r="CV12" s="325" t="e">
        <f>(HLOOKUP($AI12,'Inflation Adjustments'!$B$3:$BT$4,2,TRUE))*CK12</f>
        <v>#N/A</v>
      </c>
      <c r="CW12" s="325" t="e">
        <f>(HLOOKUP($AI12,'Inflation Adjustments'!$B$3:$BT$4,2,TRUE))*CL12</f>
        <v>#N/A</v>
      </c>
      <c r="CX12" s="325" t="e">
        <f>(HLOOKUP($AI12,'Inflation Adjustments'!$B$3:$BT$4,2,TRUE))*CM12</f>
        <v>#N/A</v>
      </c>
      <c r="CY12" s="325" t="e">
        <f>(HLOOKUP($AI12,'Inflation Adjustments'!$B$3:$BT$4,2,TRUE))*CN12</f>
        <v>#N/A</v>
      </c>
      <c r="CZ12" s="325" t="e">
        <f>(HLOOKUP($AI12,'Inflation Adjustments'!$B$3:$BT$4,2,TRUE))*CO12</f>
        <v>#N/A</v>
      </c>
      <c r="DA12" s="325" t="e">
        <f>(HLOOKUP($AI12,'Inflation Adjustments'!$B$3:$BT$4,2,TRUE))*CP12</f>
        <v>#N/A</v>
      </c>
      <c r="DB12" s="325" t="e">
        <f>(HLOOKUP($AI12,'Inflation Adjustments'!$B$3:$BT$4,2,TRUE))*CQ12</f>
        <v>#N/A</v>
      </c>
      <c r="DC12" s="325" t="e">
        <f t="shared" si="34"/>
        <v>#N/A</v>
      </c>
      <c r="DD12" s="326">
        <f t="shared" si="15"/>
        <v>2022</v>
      </c>
      <c r="DE12" s="323" t="e">
        <f t="shared" si="16"/>
        <v>#N/A</v>
      </c>
      <c r="DF12" s="323" t="e">
        <f t="shared" si="17"/>
        <v>#N/A</v>
      </c>
      <c r="DG12" s="323" t="e">
        <f t="shared" si="18"/>
        <v>#N/A</v>
      </c>
      <c r="DH12" s="323" t="e">
        <f t="shared" si="19"/>
        <v>#N/A</v>
      </c>
      <c r="DI12" s="323" t="e">
        <f t="shared" si="20"/>
        <v>#N/A</v>
      </c>
      <c r="DJ12" s="323" t="e">
        <f t="shared" si="21"/>
        <v>#N/A</v>
      </c>
      <c r="DK12" s="323" t="e">
        <f t="shared" si="22"/>
        <v>#N/A</v>
      </c>
      <c r="DL12" s="323" t="e">
        <f t="shared" si="22"/>
        <v>#N/A</v>
      </c>
      <c r="DM12" s="323" t="e">
        <f t="shared" si="23"/>
        <v>#N/A</v>
      </c>
      <c r="DN12" s="323" t="e">
        <f t="shared" si="24"/>
        <v>#N/A</v>
      </c>
      <c r="DO12" s="327" t="e">
        <f t="shared" si="25"/>
        <v>#N/A</v>
      </c>
      <c r="DP12" s="327" t="e">
        <f t="shared" si="25"/>
        <v>#N/A</v>
      </c>
      <c r="DQ12" s="327" t="e">
        <f t="shared" si="25"/>
        <v>#N/A</v>
      </c>
      <c r="DR12" s="327" t="e">
        <f t="shared" si="25"/>
        <v>#N/A</v>
      </c>
      <c r="DS12" s="327" t="e">
        <f t="shared" si="25"/>
        <v>#N/A</v>
      </c>
      <c r="DT12" s="327" t="e">
        <f t="shared" si="25"/>
        <v>#N/A</v>
      </c>
      <c r="DU12" s="327" t="e">
        <f t="shared" si="25"/>
        <v>#N/A</v>
      </c>
      <c r="DV12" s="327" t="e">
        <f t="shared" si="25"/>
        <v>#N/A</v>
      </c>
      <c r="DW12" s="327" t="e">
        <f t="shared" si="25"/>
        <v>#N/A</v>
      </c>
      <c r="DX12" s="327" t="e">
        <f t="shared" si="25"/>
        <v>#N/A</v>
      </c>
      <c r="DY12" s="327" t="e">
        <f t="shared" si="35"/>
        <v>#N/A</v>
      </c>
      <c r="DZ12" s="323" t="e">
        <f t="shared" si="26"/>
        <v>#N/A</v>
      </c>
      <c r="EA12" s="323" t="e">
        <f t="shared" si="26"/>
        <v>#N/A</v>
      </c>
      <c r="EB12" s="323" t="e">
        <f t="shared" si="26"/>
        <v>#N/A</v>
      </c>
      <c r="EC12" s="323" t="e">
        <f t="shared" si="26"/>
        <v>#N/A</v>
      </c>
      <c r="ED12" s="323" t="e">
        <f t="shared" si="26"/>
        <v>#N/A</v>
      </c>
      <c r="EE12" s="323" t="e">
        <f t="shared" si="26"/>
        <v>#N/A</v>
      </c>
      <c r="EF12" s="323" t="e">
        <f t="shared" si="26"/>
        <v>#N/A</v>
      </c>
      <c r="EG12" s="323" t="e">
        <f t="shared" si="26"/>
        <v>#N/A</v>
      </c>
      <c r="EH12" s="323" t="e">
        <f t="shared" si="26"/>
        <v>#N/A</v>
      </c>
      <c r="EI12" s="323" t="e">
        <f t="shared" si="26"/>
        <v>#N/A</v>
      </c>
      <c r="EJ12" s="324" t="e">
        <f t="shared" si="36"/>
        <v>#N/A</v>
      </c>
      <c r="EK12" s="327" t="e">
        <f t="shared" si="27"/>
        <v>#N/A</v>
      </c>
      <c r="EL12" s="327" t="e">
        <f t="shared" si="27"/>
        <v>#N/A</v>
      </c>
      <c r="EM12" s="327" t="e">
        <f t="shared" si="27"/>
        <v>#N/A</v>
      </c>
      <c r="EN12" s="327" t="e">
        <f t="shared" si="27"/>
        <v>#N/A</v>
      </c>
      <c r="EO12" s="327" t="e">
        <f t="shared" si="27"/>
        <v>#N/A</v>
      </c>
      <c r="EP12" s="327" t="e">
        <f t="shared" si="27"/>
        <v>#N/A</v>
      </c>
      <c r="EQ12" s="327" t="e">
        <f t="shared" si="27"/>
        <v>#N/A</v>
      </c>
      <c r="ER12" s="327" t="e">
        <f t="shared" si="27"/>
        <v>#N/A</v>
      </c>
      <c r="ES12" s="327" t="e">
        <f t="shared" si="27"/>
        <v>#N/A</v>
      </c>
      <c r="ET12" s="327" t="e">
        <f t="shared" si="27"/>
        <v>#N/A</v>
      </c>
      <c r="EU12" s="325" t="e">
        <f t="shared" si="37"/>
        <v>#N/A</v>
      </c>
      <c r="EV12" s="336"/>
      <c r="EW12" s="336"/>
      <c r="EX12" s="336"/>
      <c r="EY12" s="336"/>
      <c r="EZ12" s="336"/>
      <c r="FA12" s="336"/>
      <c r="FB12" s="336"/>
    </row>
    <row r="13" spans="1:165" ht="64" customHeight="1" thickTop="1" thickBot="1" x14ac:dyDescent="0.35">
      <c r="A13" s="330"/>
      <c r="B13" s="318"/>
      <c r="C13" s="318"/>
      <c r="D13" s="318"/>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7"/>
      <c r="AN13" s="317"/>
      <c r="AO13" s="511" t="e">
        <f t="shared" si="28"/>
        <v>#N/A</v>
      </c>
      <c r="AP13" s="511" t="e">
        <f t="shared" si="29"/>
        <v>#N/A</v>
      </c>
      <c r="AQ13" s="511" t="e">
        <f t="shared" si="30"/>
        <v>#N/A</v>
      </c>
      <c r="AR13" s="511" t="e">
        <f t="shared" si="31"/>
        <v>#N/A</v>
      </c>
      <c r="AS13" s="511" t="e">
        <f>HLOOKUP($C$1,'Inflation Adjustments'!$BI$3:$BT$4,2)*CR13</f>
        <v>#N/A</v>
      </c>
      <c r="AT13" s="317">
        <f>IF(BU13="In Service",'Maintenace Cost Assumptions'!$B$3*AS13,0)</f>
        <v>0</v>
      </c>
      <c r="AU13" s="318"/>
      <c r="AV13" s="318"/>
      <c r="AW13" s="318"/>
      <c r="AX13" s="318"/>
      <c r="AY13" s="318"/>
      <c r="AZ13" s="318"/>
      <c r="BA13" s="318"/>
      <c r="BB13" s="318"/>
      <c r="BC13" s="318"/>
      <c r="BD13" s="318"/>
      <c r="BE13" s="318"/>
      <c r="BF13" s="318"/>
      <c r="BG13" s="319">
        <f>(AU13*'Condition rating weights'!H$8+AV13*'Condition rating weights'!I$8+AW13*'Condition rating weights'!J$8+AX13*'Condition rating weights'!K$8+AY13*'Condition rating weights'!L$8+AZ13*'Condition rating weights'!M$8+BA13*'Condition rating weights'!N$8+BB13*'Condition rating weights'!O$8+BC13*'Condition rating weights'!P$8+BD13*'Condition rating weights'!Q$8+BE13*'Condition rating weights'!R$8+BF13*'Condition rating weights'!S$8)/100</f>
        <v>0</v>
      </c>
      <c r="BH13" s="333"/>
      <c r="BI13" s="333"/>
      <c r="BJ13" s="333"/>
      <c r="BK13" s="333"/>
      <c r="BL13" s="333"/>
      <c r="BM13" s="333"/>
      <c r="BN13" s="333"/>
      <c r="BO13" s="333"/>
      <c r="BP13" s="333"/>
      <c r="BQ13" s="333"/>
      <c r="BR13" s="333"/>
      <c r="BS13" s="333"/>
      <c r="BT13" s="334"/>
      <c r="BU13" s="335"/>
      <c r="BV13" s="255"/>
      <c r="BY13" s="306" t="str">
        <f>'GRC and TUL Assumptions'!A13</f>
        <v>Services Sanitation</v>
      </c>
      <c r="BZ13" s="305">
        <f>'GRC and TUL Assumptions'!C13</f>
        <v>100</v>
      </c>
      <c r="CA13" s="305">
        <f>'GRC and TUL Assumptions'!D13</f>
        <v>130</v>
      </c>
      <c r="CB13" s="305">
        <f>'GRC and TUL Assumptions'!E13</f>
        <v>150</v>
      </c>
      <c r="CC13" s="305">
        <v>0</v>
      </c>
      <c r="CD13" s="305">
        <f>'GRC and TUL Assumptions'!F13</f>
        <v>20</v>
      </c>
      <c r="CE13" s="305">
        <f>'GRC and TUL Assumptions'!G13</f>
        <v>30</v>
      </c>
      <c r="CF13" s="305">
        <f>'GRC and TUL Assumptions'!H13</f>
        <v>40</v>
      </c>
      <c r="CG13" s="305">
        <f t="shared" si="32"/>
        <v>20</v>
      </c>
      <c r="CH13" s="323" t="e">
        <f t="shared" si="5"/>
        <v>#N/A</v>
      </c>
      <c r="CI13" s="323" t="e">
        <f t="shared" si="6"/>
        <v>#N/A</v>
      </c>
      <c r="CJ13" s="323" t="e">
        <f t="shared" si="7"/>
        <v>#N/A</v>
      </c>
      <c r="CK13" s="323" t="e">
        <f t="shared" si="8"/>
        <v>#N/A</v>
      </c>
      <c r="CL13" s="323" t="e">
        <f t="shared" si="9"/>
        <v>#N/A</v>
      </c>
      <c r="CM13" s="323" t="e">
        <f t="shared" si="10"/>
        <v>#N/A</v>
      </c>
      <c r="CN13" s="323" t="e">
        <f t="shared" si="11"/>
        <v>#N/A</v>
      </c>
      <c r="CO13" s="323" t="e">
        <f t="shared" si="12"/>
        <v>#N/A</v>
      </c>
      <c r="CP13" s="323" t="e">
        <f t="shared" si="13"/>
        <v>#N/A</v>
      </c>
      <c r="CQ13" s="323" t="e">
        <f t="shared" si="14"/>
        <v>#N/A</v>
      </c>
      <c r="CR13" s="324" t="e">
        <f t="shared" si="33"/>
        <v>#N/A</v>
      </c>
      <c r="CS13" s="325" t="e">
        <f>(HLOOKUP($AI13,'Inflation Adjustments'!$B$3:$BT$4,2,TRUE))*CH13</f>
        <v>#N/A</v>
      </c>
      <c r="CT13" s="325" t="e">
        <f>(HLOOKUP($AI13,'Inflation Adjustments'!$B$3:$BT$4,2,TRUE))*CI13</f>
        <v>#N/A</v>
      </c>
      <c r="CU13" s="325" t="e">
        <f>(HLOOKUP($AI13,'Inflation Adjustments'!$B$3:$BT$4,2,TRUE))*CJ13</f>
        <v>#N/A</v>
      </c>
      <c r="CV13" s="325" t="e">
        <f>(HLOOKUP($AI13,'Inflation Adjustments'!$B$3:$BT$4,2,TRUE))*CK13</f>
        <v>#N/A</v>
      </c>
      <c r="CW13" s="325" t="e">
        <f>(HLOOKUP($AI13,'Inflation Adjustments'!$B$3:$BT$4,2,TRUE))*CL13</f>
        <v>#N/A</v>
      </c>
      <c r="CX13" s="325" t="e">
        <f>(HLOOKUP($AI13,'Inflation Adjustments'!$B$3:$BT$4,2,TRUE))*CM13</f>
        <v>#N/A</v>
      </c>
      <c r="CY13" s="325" t="e">
        <f>(HLOOKUP($AI13,'Inflation Adjustments'!$B$3:$BT$4,2,TRUE))*CN13</f>
        <v>#N/A</v>
      </c>
      <c r="CZ13" s="325" t="e">
        <f>(HLOOKUP($AI13,'Inflation Adjustments'!$B$3:$BT$4,2,TRUE))*CO13</f>
        <v>#N/A</v>
      </c>
      <c r="DA13" s="325" t="e">
        <f>(HLOOKUP($AI13,'Inflation Adjustments'!$B$3:$BT$4,2,TRUE))*CP13</f>
        <v>#N/A</v>
      </c>
      <c r="DB13" s="325" t="e">
        <f>(HLOOKUP($AI13,'Inflation Adjustments'!$B$3:$BT$4,2,TRUE))*CQ13</f>
        <v>#N/A</v>
      </c>
      <c r="DC13" s="325" t="e">
        <f t="shared" si="34"/>
        <v>#N/A</v>
      </c>
      <c r="DD13" s="326">
        <f t="shared" si="15"/>
        <v>2022</v>
      </c>
      <c r="DE13" s="323" t="e">
        <f t="shared" si="16"/>
        <v>#N/A</v>
      </c>
      <c r="DF13" s="323" t="e">
        <f t="shared" si="17"/>
        <v>#N/A</v>
      </c>
      <c r="DG13" s="323" t="e">
        <f t="shared" si="18"/>
        <v>#N/A</v>
      </c>
      <c r="DH13" s="323" t="e">
        <f t="shared" si="19"/>
        <v>#N/A</v>
      </c>
      <c r="DI13" s="323" t="e">
        <f t="shared" si="20"/>
        <v>#N/A</v>
      </c>
      <c r="DJ13" s="323" t="e">
        <f t="shared" si="21"/>
        <v>#N/A</v>
      </c>
      <c r="DK13" s="323" t="e">
        <f t="shared" si="22"/>
        <v>#N/A</v>
      </c>
      <c r="DL13" s="323" t="e">
        <f t="shared" si="22"/>
        <v>#N/A</v>
      </c>
      <c r="DM13" s="323" t="e">
        <f t="shared" si="23"/>
        <v>#N/A</v>
      </c>
      <c r="DN13" s="323" t="e">
        <f t="shared" si="24"/>
        <v>#N/A</v>
      </c>
      <c r="DO13" s="327" t="e">
        <f t="shared" si="25"/>
        <v>#N/A</v>
      </c>
      <c r="DP13" s="327" t="e">
        <f t="shared" si="25"/>
        <v>#N/A</v>
      </c>
      <c r="DQ13" s="327" t="e">
        <f t="shared" si="25"/>
        <v>#N/A</v>
      </c>
      <c r="DR13" s="327" t="e">
        <f t="shared" si="25"/>
        <v>#N/A</v>
      </c>
      <c r="DS13" s="327" t="e">
        <f t="shared" si="25"/>
        <v>#N/A</v>
      </c>
      <c r="DT13" s="327" t="e">
        <f t="shared" si="25"/>
        <v>#N/A</v>
      </c>
      <c r="DU13" s="327" t="e">
        <f t="shared" si="25"/>
        <v>#N/A</v>
      </c>
      <c r="DV13" s="327" t="e">
        <f t="shared" si="25"/>
        <v>#N/A</v>
      </c>
      <c r="DW13" s="327" t="e">
        <f t="shared" si="25"/>
        <v>#N/A</v>
      </c>
      <c r="DX13" s="327" t="e">
        <f t="shared" si="25"/>
        <v>#N/A</v>
      </c>
      <c r="DY13" s="327" t="e">
        <f t="shared" si="35"/>
        <v>#N/A</v>
      </c>
      <c r="DZ13" s="323" t="e">
        <f t="shared" si="26"/>
        <v>#N/A</v>
      </c>
      <c r="EA13" s="323" t="e">
        <f t="shared" si="26"/>
        <v>#N/A</v>
      </c>
      <c r="EB13" s="323" t="e">
        <f t="shared" si="26"/>
        <v>#N/A</v>
      </c>
      <c r="EC13" s="323" t="e">
        <f t="shared" si="26"/>
        <v>#N/A</v>
      </c>
      <c r="ED13" s="323" t="e">
        <f t="shared" si="26"/>
        <v>#N/A</v>
      </c>
      <c r="EE13" s="323" t="e">
        <f t="shared" si="26"/>
        <v>#N/A</v>
      </c>
      <c r="EF13" s="323" t="e">
        <f t="shared" si="26"/>
        <v>#N/A</v>
      </c>
      <c r="EG13" s="323" t="e">
        <f t="shared" si="26"/>
        <v>#N/A</v>
      </c>
      <c r="EH13" s="323" t="e">
        <f t="shared" si="26"/>
        <v>#N/A</v>
      </c>
      <c r="EI13" s="323" t="e">
        <f t="shared" si="26"/>
        <v>#N/A</v>
      </c>
      <c r="EJ13" s="324" t="e">
        <f t="shared" si="36"/>
        <v>#N/A</v>
      </c>
      <c r="EK13" s="327" t="e">
        <f t="shared" si="27"/>
        <v>#N/A</v>
      </c>
      <c r="EL13" s="327" t="e">
        <f t="shared" si="27"/>
        <v>#N/A</v>
      </c>
      <c r="EM13" s="327" t="e">
        <f t="shared" si="27"/>
        <v>#N/A</v>
      </c>
      <c r="EN13" s="327" t="e">
        <f t="shared" si="27"/>
        <v>#N/A</v>
      </c>
      <c r="EO13" s="327" t="e">
        <f t="shared" si="27"/>
        <v>#N/A</v>
      </c>
      <c r="EP13" s="327" t="e">
        <f t="shared" si="27"/>
        <v>#N/A</v>
      </c>
      <c r="EQ13" s="327" t="e">
        <f t="shared" si="27"/>
        <v>#N/A</v>
      </c>
      <c r="ER13" s="327" t="e">
        <f t="shared" si="27"/>
        <v>#N/A</v>
      </c>
      <c r="ES13" s="327" t="e">
        <f t="shared" si="27"/>
        <v>#N/A</v>
      </c>
      <c r="ET13" s="327" t="e">
        <f t="shared" si="27"/>
        <v>#N/A</v>
      </c>
      <c r="EU13" s="325" t="e">
        <f t="shared" si="37"/>
        <v>#N/A</v>
      </c>
      <c r="EV13" s="336"/>
      <c r="EW13" s="336"/>
      <c r="EX13" s="336"/>
      <c r="EY13" s="336"/>
      <c r="EZ13" s="336"/>
      <c r="FA13" s="336"/>
      <c r="FB13" s="336"/>
    </row>
    <row r="14" spans="1:165" ht="66.5" customHeight="1" thickTop="1" thickBot="1" x14ac:dyDescent="0.35">
      <c r="A14" s="330"/>
      <c r="B14" s="318"/>
      <c r="C14" s="318"/>
      <c r="D14" s="318"/>
      <c r="E14" s="318"/>
      <c r="F14" s="318"/>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7"/>
      <c r="AN14" s="317"/>
      <c r="AO14" s="511" t="e">
        <f t="shared" si="28"/>
        <v>#N/A</v>
      </c>
      <c r="AP14" s="511" t="e">
        <f t="shared" si="29"/>
        <v>#N/A</v>
      </c>
      <c r="AQ14" s="511" t="e">
        <f t="shared" si="30"/>
        <v>#N/A</v>
      </c>
      <c r="AR14" s="511" t="e">
        <f t="shared" si="31"/>
        <v>#N/A</v>
      </c>
      <c r="AS14" s="511" t="e">
        <f>HLOOKUP($C$1,'Inflation Adjustments'!$BI$3:$BT$4,2)*CR14</f>
        <v>#N/A</v>
      </c>
      <c r="AT14" s="317">
        <f>IF(BU14="In Service",'Maintenace Cost Assumptions'!$B$3*AS14,0)</f>
        <v>0</v>
      </c>
      <c r="AU14" s="318"/>
      <c r="AV14" s="318"/>
      <c r="AW14" s="318"/>
      <c r="AX14" s="318"/>
      <c r="AY14" s="318"/>
      <c r="AZ14" s="318"/>
      <c r="BA14" s="318"/>
      <c r="BB14" s="318"/>
      <c r="BC14" s="318"/>
      <c r="BD14" s="318"/>
      <c r="BE14" s="318"/>
      <c r="BF14" s="318"/>
      <c r="BG14" s="319">
        <f>(AU14*'Condition rating weights'!H$8+AV14*'Condition rating weights'!I$8+AW14*'Condition rating weights'!J$8+AX14*'Condition rating weights'!K$8+AY14*'Condition rating weights'!L$8+AZ14*'Condition rating weights'!M$8+BA14*'Condition rating weights'!N$8+BB14*'Condition rating weights'!O$8+BC14*'Condition rating weights'!P$8+BD14*'Condition rating weights'!Q$8+BE14*'Condition rating weights'!R$8+BF14*'Condition rating weights'!S$8)/100</f>
        <v>0</v>
      </c>
      <c r="BH14" s="333"/>
      <c r="BI14" s="333"/>
      <c r="BJ14" s="333"/>
      <c r="BK14" s="333"/>
      <c r="BL14" s="333"/>
      <c r="BM14" s="333"/>
      <c r="BN14" s="333"/>
      <c r="BO14" s="333"/>
      <c r="BP14" s="333"/>
      <c r="BQ14" s="333"/>
      <c r="BR14" s="333"/>
      <c r="BS14" s="333"/>
      <c r="BT14" s="334"/>
      <c r="BU14" s="335"/>
      <c r="BV14" s="255"/>
      <c r="BY14" s="306" t="str">
        <f>'GRC and TUL Assumptions'!A14</f>
        <v>Services Water</v>
      </c>
      <c r="BZ14" s="305">
        <f>'GRC and TUL Assumptions'!C14</f>
        <v>20</v>
      </c>
      <c r="CA14" s="305">
        <f>'GRC and TUL Assumptions'!D14</f>
        <v>40</v>
      </c>
      <c r="CB14" s="305">
        <f>'GRC and TUL Assumptions'!E14</f>
        <v>70</v>
      </c>
      <c r="CC14" s="305">
        <v>0</v>
      </c>
      <c r="CD14" s="305">
        <f>'GRC and TUL Assumptions'!F14</f>
        <v>20</v>
      </c>
      <c r="CE14" s="305">
        <f>'GRC and TUL Assumptions'!G14</f>
        <v>30</v>
      </c>
      <c r="CF14" s="305">
        <f>'GRC and TUL Assumptions'!H14</f>
        <v>40</v>
      </c>
      <c r="CG14" s="305">
        <f t="shared" si="32"/>
        <v>20</v>
      </c>
      <c r="CH14" s="323" t="e">
        <f t="shared" si="5"/>
        <v>#N/A</v>
      </c>
      <c r="CI14" s="323" t="e">
        <f t="shared" si="6"/>
        <v>#N/A</v>
      </c>
      <c r="CJ14" s="323" t="e">
        <f t="shared" si="7"/>
        <v>#N/A</v>
      </c>
      <c r="CK14" s="323" t="e">
        <f t="shared" si="8"/>
        <v>#N/A</v>
      </c>
      <c r="CL14" s="323" t="e">
        <f t="shared" si="9"/>
        <v>#N/A</v>
      </c>
      <c r="CM14" s="323" t="e">
        <f t="shared" si="10"/>
        <v>#N/A</v>
      </c>
      <c r="CN14" s="323" t="e">
        <f t="shared" si="11"/>
        <v>#N/A</v>
      </c>
      <c r="CO14" s="323" t="e">
        <f t="shared" si="12"/>
        <v>#N/A</v>
      </c>
      <c r="CP14" s="323" t="e">
        <f t="shared" si="13"/>
        <v>#N/A</v>
      </c>
      <c r="CQ14" s="323" t="e">
        <f t="shared" si="14"/>
        <v>#N/A</v>
      </c>
      <c r="CR14" s="324" t="e">
        <f t="shared" si="33"/>
        <v>#N/A</v>
      </c>
      <c r="CS14" s="325" t="e">
        <f>(HLOOKUP($AI14,'Inflation Adjustments'!$B$3:$BT$4,2,TRUE))*CH14</f>
        <v>#N/A</v>
      </c>
      <c r="CT14" s="325" t="e">
        <f>(HLOOKUP($AI14,'Inflation Adjustments'!$B$3:$BT$4,2,TRUE))*CI14</f>
        <v>#N/A</v>
      </c>
      <c r="CU14" s="325" t="e">
        <f>(HLOOKUP($AI14,'Inflation Adjustments'!$B$3:$BT$4,2,TRUE))*CJ14</f>
        <v>#N/A</v>
      </c>
      <c r="CV14" s="325" t="e">
        <f>(HLOOKUP($AI14,'Inflation Adjustments'!$B$3:$BT$4,2,TRUE))*CK14</f>
        <v>#N/A</v>
      </c>
      <c r="CW14" s="325" t="e">
        <f>(HLOOKUP($AI14,'Inflation Adjustments'!$B$3:$BT$4,2,TRUE))*CL14</f>
        <v>#N/A</v>
      </c>
      <c r="CX14" s="325" t="e">
        <f>(HLOOKUP($AI14,'Inflation Adjustments'!$B$3:$BT$4,2,TRUE))*CM14</f>
        <v>#N/A</v>
      </c>
      <c r="CY14" s="325" t="e">
        <f>(HLOOKUP($AI14,'Inflation Adjustments'!$B$3:$BT$4,2,TRUE))*CN14</f>
        <v>#N/A</v>
      </c>
      <c r="CZ14" s="325" t="e">
        <f>(HLOOKUP($AI14,'Inflation Adjustments'!$B$3:$BT$4,2,TRUE))*CO14</f>
        <v>#N/A</v>
      </c>
      <c r="DA14" s="325" t="e">
        <f>(HLOOKUP($AI14,'Inflation Adjustments'!$B$3:$BT$4,2,TRUE))*CP14</f>
        <v>#N/A</v>
      </c>
      <c r="DB14" s="325" t="e">
        <f>(HLOOKUP($AI14,'Inflation Adjustments'!$B$3:$BT$4,2,TRUE))*CQ14</f>
        <v>#N/A</v>
      </c>
      <c r="DC14" s="325" t="e">
        <f t="shared" si="34"/>
        <v>#N/A</v>
      </c>
      <c r="DD14" s="326">
        <f t="shared" si="15"/>
        <v>2022</v>
      </c>
      <c r="DE14" s="323" t="e">
        <f t="shared" si="16"/>
        <v>#N/A</v>
      </c>
      <c r="DF14" s="323" t="e">
        <f t="shared" si="17"/>
        <v>#N/A</v>
      </c>
      <c r="DG14" s="323" t="e">
        <f t="shared" si="18"/>
        <v>#N/A</v>
      </c>
      <c r="DH14" s="323" t="e">
        <f t="shared" si="19"/>
        <v>#N/A</v>
      </c>
      <c r="DI14" s="323" t="e">
        <f t="shared" si="20"/>
        <v>#N/A</v>
      </c>
      <c r="DJ14" s="323" t="e">
        <f t="shared" si="21"/>
        <v>#N/A</v>
      </c>
      <c r="DK14" s="323" t="e">
        <f t="shared" si="22"/>
        <v>#N/A</v>
      </c>
      <c r="DL14" s="323" t="e">
        <f t="shared" si="22"/>
        <v>#N/A</v>
      </c>
      <c r="DM14" s="323" t="e">
        <f t="shared" si="23"/>
        <v>#N/A</v>
      </c>
      <c r="DN14" s="323" t="e">
        <f t="shared" si="24"/>
        <v>#N/A</v>
      </c>
      <c r="DO14" s="327" t="e">
        <f t="shared" si="25"/>
        <v>#N/A</v>
      </c>
      <c r="DP14" s="327" t="e">
        <f t="shared" si="25"/>
        <v>#N/A</v>
      </c>
      <c r="DQ14" s="327" t="e">
        <f t="shared" si="25"/>
        <v>#N/A</v>
      </c>
      <c r="DR14" s="327" t="e">
        <f t="shared" si="25"/>
        <v>#N/A</v>
      </c>
      <c r="DS14" s="327" t="e">
        <f t="shared" si="25"/>
        <v>#N/A</v>
      </c>
      <c r="DT14" s="327" t="e">
        <f t="shared" si="25"/>
        <v>#N/A</v>
      </c>
      <c r="DU14" s="327" t="e">
        <f t="shared" si="25"/>
        <v>#N/A</v>
      </c>
      <c r="DV14" s="327" t="e">
        <f t="shared" si="25"/>
        <v>#N/A</v>
      </c>
      <c r="DW14" s="327" t="e">
        <f t="shared" si="25"/>
        <v>#N/A</v>
      </c>
      <c r="DX14" s="327" t="e">
        <f t="shared" si="25"/>
        <v>#N/A</v>
      </c>
      <c r="DY14" s="327" t="e">
        <f t="shared" si="35"/>
        <v>#N/A</v>
      </c>
      <c r="DZ14" s="323" t="e">
        <f t="shared" si="26"/>
        <v>#N/A</v>
      </c>
      <c r="EA14" s="323" t="e">
        <f t="shared" si="26"/>
        <v>#N/A</v>
      </c>
      <c r="EB14" s="323" t="e">
        <f t="shared" si="26"/>
        <v>#N/A</v>
      </c>
      <c r="EC14" s="323" t="e">
        <f t="shared" si="26"/>
        <v>#N/A</v>
      </c>
      <c r="ED14" s="323" t="e">
        <f t="shared" si="26"/>
        <v>#N/A</v>
      </c>
      <c r="EE14" s="323" t="e">
        <f t="shared" si="26"/>
        <v>#N/A</v>
      </c>
      <c r="EF14" s="323" t="e">
        <f t="shared" si="26"/>
        <v>#N/A</v>
      </c>
      <c r="EG14" s="323" t="e">
        <f t="shared" si="26"/>
        <v>#N/A</v>
      </c>
      <c r="EH14" s="323" t="e">
        <f t="shared" si="26"/>
        <v>#N/A</v>
      </c>
      <c r="EI14" s="323" t="e">
        <f t="shared" si="26"/>
        <v>#N/A</v>
      </c>
      <c r="EJ14" s="324" t="e">
        <f t="shared" si="36"/>
        <v>#N/A</v>
      </c>
      <c r="EK14" s="327" t="e">
        <f t="shared" si="27"/>
        <v>#N/A</v>
      </c>
      <c r="EL14" s="327" t="e">
        <f t="shared" si="27"/>
        <v>#N/A</v>
      </c>
      <c r="EM14" s="327" t="e">
        <f t="shared" si="27"/>
        <v>#N/A</v>
      </c>
      <c r="EN14" s="327" t="e">
        <f t="shared" si="27"/>
        <v>#N/A</v>
      </c>
      <c r="EO14" s="327" t="e">
        <f t="shared" si="27"/>
        <v>#N/A</v>
      </c>
      <c r="EP14" s="327" t="e">
        <f t="shared" si="27"/>
        <v>#N/A</v>
      </c>
      <c r="EQ14" s="327" t="e">
        <f t="shared" si="27"/>
        <v>#N/A</v>
      </c>
      <c r="ER14" s="327" t="e">
        <f t="shared" si="27"/>
        <v>#N/A</v>
      </c>
      <c r="ES14" s="327" t="e">
        <f t="shared" si="27"/>
        <v>#N/A</v>
      </c>
      <c r="ET14" s="327" t="e">
        <f t="shared" si="27"/>
        <v>#N/A</v>
      </c>
      <c r="EU14" s="325" t="e">
        <f t="shared" si="37"/>
        <v>#N/A</v>
      </c>
      <c r="EV14" s="336"/>
      <c r="EW14" s="336"/>
      <c r="EX14" s="336"/>
      <c r="EY14" s="336"/>
      <c r="EZ14" s="336"/>
      <c r="FA14" s="336"/>
      <c r="FB14" s="336"/>
    </row>
    <row r="15" spans="1:165" ht="56.5" customHeight="1" thickTop="1" thickBot="1" x14ac:dyDescent="0.35">
      <c r="A15" s="330"/>
      <c r="B15" s="318"/>
      <c r="C15" s="318"/>
      <c r="D15" s="318"/>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7"/>
      <c r="AN15" s="317"/>
      <c r="AO15" s="511" t="e">
        <f t="shared" si="28"/>
        <v>#N/A</v>
      </c>
      <c r="AP15" s="511" t="e">
        <f t="shared" si="29"/>
        <v>#N/A</v>
      </c>
      <c r="AQ15" s="511" t="e">
        <f t="shared" si="30"/>
        <v>#N/A</v>
      </c>
      <c r="AR15" s="511" t="e">
        <f t="shared" si="31"/>
        <v>#N/A</v>
      </c>
      <c r="AS15" s="511" t="e">
        <f>HLOOKUP($C$1,'Inflation Adjustments'!$BI$3:$BT$4,2)*CR15</f>
        <v>#N/A</v>
      </c>
      <c r="AT15" s="317">
        <f>IF(BU15="In Service",'Maintenace Cost Assumptions'!$B$3*AS15,0)</f>
        <v>0</v>
      </c>
      <c r="AU15" s="318"/>
      <c r="AV15" s="318"/>
      <c r="AW15" s="318"/>
      <c r="AX15" s="318"/>
      <c r="AY15" s="318"/>
      <c r="AZ15" s="318"/>
      <c r="BA15" s="318"/>
      <c r="BB15" s="318"/>
      <c r="BC15" s="318"/>
      <c r="BD15" s="318"/>
      <c r="BE15" s="318"/>
      <c r="BF15" s="318"/>
      <c r="BG15" s="319">
        <f>(AU15*'Condition rating weights'!H$8+AV15*'Condition rating weights'!I$8+AW15*'Condition rating weights'!J$8+AX15*'Condition rating weights'!K$8+AY15*'Condition rating weights'!L$8+AZ15*'Condition rating weights'!M$8+BA15*'Condition rating weights'!N$8+BB15*'Condition rating weights'!O$8+BC15*'Condition rating weights'!P$8+BD15*'Condition rating weights'!Q$8+BE15*'Condition rating weights'!R$8+BF15*'Condition rating weights'!S$8)/100</f>
        <v>0</v>
      </c>
      <c r="BH15" s="333"/>
      <c r="BI15" s="333"/>
      <c r="BJ15" s="333"/>
      <c r="BK15" s="333"/>
      <c r="BL15" s="333"/>
      <c r="BM15" s="333"/>
      <c r="BN15" s="333"/>
      <c r="BO15" s="333"/>
      <c r="BP15" s="333"/>
      <c r="BQ15" s="333"/>
      <c r="BR15" s="333"/>
      <c r="BS15" s="333"/>
      <c r="BT15" s="334"/>
      <c r="BU15" s="335"/>
      <c r="BV15" s="255"/>
      <c r="CD15" s="290"/>
      <c r="CH15" s="323" t="e">
        <f t="shared" si="5"/>
        <v>#N/A</v>
      </c>
      <c r="CI15" s="323" t="e">
        <f t="shared" si="6"/>
        <v>#N/A</v>
      </c>
      <c r="CJ15" s="323" t="e">
        <f t="shared" si="7"/>
        <v>#N/A</v>
      </c>
      <c r="CK15" s="323" t="e">
        <f t="shared" si="8"/>
        <v>#N/A</v>
      </c>
      <c r="CL15" s="323" t="e">
        <f t="shared" si="9"/>
        <v>#N/A</v>
      </c>
      <c r="CM15" s="323" t="e">
        <f t="shared" si="10"/>
        <v>#N/A</v>
      </c>
      <c r="CN15" s="323" t="e">
        <f t="shared" si="11"/>
        <v>#N/A</v>
      </c>
      <c r="CO15" s="323" t="e">
        <f t="shared" si="12"/>
        <v>#N/A</v>
      </c>
      <c r="CP15" s="323" t="e">
        <f t="shared" si="13"/>
        <v>#N/A</v>
      </c>
      <c r="CQ15" s="323" t="e">
        <f t="shared" si="14"/>
        <v>#N/A</v>
      </c>
      <c r="CR15" s="324" t="e">
        <f t="shared" si="33"/>
        <v>#N/A</v>
      </c>
      <c r="CS15" s="325" t="e">
        <f>(HLOOKUP($AI15,'Inflation Adjustments'!$B$3:$BT$4,2,TRUE))*CH15</f>
        <v>#N/A</v>
      </c>
      <c r="CT15" s="325" t="e">
        <f>(HLOOKUP($AI15,'Inflation Adjustments'!$B$3:$BT$4,2,TRUE))*CI15</f>
        <v>#N/A</v>
      </c>
      <c r="CU15" s="325" t="e">
        <f>(HLOOKUP($AI15,'Inflation Adjustments'!$B$3:$BT$4,2,TRUE))*CJ15</f>
        <v>#N/A</v>
      </c>
      <c r="CV15" s="325" t="e">
        <f>(HLOOKUP($AI15,'Inflation Adjustments'!$B$3:$BT$4,2,TRUE))*CK15</f>
        <v>#N/A</v>
      </c>
      <c r="CW15" s="325" t="e">
        <f>(HLOOKUP($AI15,'Inflation Adjustments'!$B$3:$BT$4,2,TRUE))*CL15</f>
        <v>#N/A</v>
      </c>
      <c r="CX15" s="325" t="e">
        <f>(HLOOKUP($AI15,'Inflation Adjustments'!$B$3:$BT$4,2,TRUE))*CM15</f>
        <v>#N/A</v>
      </c>
      <c r="CY15" s="325" t="e">
        <f>(HLOOKUP($AI15,'Inflation Adjustments'!$B$3:$BT$4,2,TRUE))*CN15</f>
        <v>#N/A</v>
      </c>
      <c r="CZ15" s="325" t="e">
        <f>(HLOOKUP($AI15,'Inflation Adjustments'!$B$3:$BT$4,2,TRUE))*CO15</f>
        <v>#N/A</v>
      </c>
      <c r="DA15" s="325" t="e">
        <f>(HLOOKUP($AI15,'Inflation Adjustments'!$B$3:$BT$4,2,TRUE))*CP15</f>
        <v>#N/A</v>
      </c>
      <c r="DB15" s="325" t="e">
        <f>(HLOOKUP($AI15,'Inflation Adjustments'!$B$3:$BT$4,2,TRUE))*CQ15</f>
        <v>#N/A</v>
      </c>
      <c r="DC15" s="325" t="e">
        <f t="shared" si="34"/>
        <v>#N/A</v>
      </c>
      <c r="DD15" s="326">
        <f t="shared" si="15"/>
        <v>2022</v>
      </c>
      <c r="DE15" s="323" t="e">
        <f t="shared" si="16"/>
        <v>#N/A</v>
      </c>
      <c r="DF15" s="323" t="e">
        <f t="shared" si="17"/>
        <v>#N/A</v>
      </c>
      <c r="DG15" s="323" t="e">
        <f t="shared" si="18"/>
        <v>#N/A</v>
      </c>
      <c r="DH15" s="323" t="e">
        <f t="shared" si="19"/>
        <v>#N/A</v>
      </c>
      <c r="DI15" s="323" t="e">
        <f t="shared" si="20"/>
        <v>#N/A</v>
      </c>
      <c r="DJ15" s="323" t="e">
        <f t="shared" si="21"/>
        <v>#N/A</v>
      </c>
      <c r="DK15" s="323" t="e">
        <f t="shared" si="22"/>
        <v>#N/A</v>
      </c>
      <c r="DL15" s="323" t="e">
        <f t="shared" si="22"/>
        <v>#N/A</v>
      </c>
      <c r="DM15" s="323" t="e">
        <f t="shared" si="23"/>
        <v>#N/A</v>
      </c>
      <c r="DN15" s="323" t="e">
        <f t="shared" si="24"/>
        <v>#N/A</v>
      </c>
      <c r="DO15" s="327" t="e">
        <f t="shared" si="25"/>
        <v>#N/A</v>
      </c>
      <c r="DP15" s="327" t="e">
        <f t="shared" si="25"/>
        <v>#N/A</v>
      </c>
      <c r="DQ15" s="327" t="e">
        <f t="shared" si="25"/>
        <v>#N/A</v>
      </c>
      <c r="DR15" s="327" t="e">
        <f t="shared" si="25"/>
        <v>#N/A</v>
      </c>
      <c r="DS15" s="327" t="e">
        <f t="shared" si="25"/>
        <v>#N/A</v>
      </c>
      <c r="DT15" s="327" t="e">
        <f t="shared" si="25"/>
        <v>#N/A</v>
      </c>
      <c r="DU15" s="327" t="e">
        <f t="shared" si="25"/>
        <v>#N/A</v>
      </c>
      <c r="DV15" s="327" t="e">
        <f t="shared" si="25"/>
        <v>#N/A</v>
      </c>
      <c r="DW15" s="327" t="e">
        <f t="shared" si="25"/>
        <v>#N/A</v>
      </c>
      <c r="DX15" s="327" t="e">
        <f t="shared" si="25"/>
        <v>#N/A</v>
      </c>
      <c r="DY15" s="327" t="e">
        <f t="shared" si="35"/>
        <v>#N/A</v>
      </c>
      <c r="DZ15" s="323" t="e">
        <f t="shared" si="26"/>
        <v>#N/A</v>
      </c>
      <c r="EA15" s="323" t="e">
        <f t="shared" si="26"/>
        <v>#N/A</v>
      </c>
      <c r="EB15" s="323" t="e">
        <f t="shared" si="26"/>
        <v>#N/A</v>
      </c>
      <c r="EC15" s="323" t="e">
        <f t="shared" si="26"/>
        <v>#N/A</v>
      </c>
      <c r="ED15" s="323" t="e">
        <f t="shared" si="26"/>
        <v>#N/A</v>
      </c>
      <c r="EE15" s="323" t="e">
        <f t="shared" si="26"/>
        <v>#N/A</v>
      </c>
      <c r="EF15" s="323" t="e">
        <f t="shared" si="26"/>
        <v>#N/A</v>
      </c>
      <c r="EG15" s="323" t="e">
        <f t="shared" si="26"/>
        <v>#N/A</v>
      </c>
      <c r="EH15" s="323" t="e">
        <f t="shared" si="26"/>
        <v>#N/A</v>
      </c>
      <c r="EI15" s="323" t="e">
        <f t="shared" si="26"/>
        <v>#N/A</v>
      </c>
      <c r="EJ15" s="324" t="e">
        <f t="shared" si="36"/>
        <v>#N/A</v>
      </c>
      <c r="EK15" s="327" t="e">
        <f t="shared" si="27"/>
        <v>#N/A</v>
      </c>
      <c r="EL15" s="327" t="e">
        <f t="shared" si="27"/>
        <v>#N/A</v>
      </c>
      <c r="EM15" s="327" t="e">
        <f t="shared" si="27"/>
        <v>#N/A</v>
      </c>
      <c r="EN15" s="327" t="e">
        <f t="shared" si="27"/>
        <v>#N/A</v>
      </c>
      <c r="EO15" s="327" t="e">
        <f t="shared" si="27"/>
        <v>#N/A</v>
      </c>
      <c r="EP15" s="327" t="e">
        <f t="shared" si="27"/>
        <v>#N/A</v>
      </c>
      <c r="EQ15" s="327" t="e">
        <f t="shared" si="27"/>
        <v>#N/A</v>
      </c>
      <c r="ER15" s="327" t="e">
        <f t="shared" si="27"/>
        <v>#N/A</v>
      </c>
      <c r="ES15" s="327" t="e">
        <f t="shared" si="27"/>
        <v>#N/A</v>
      </c>
      <c r="ET15" s="327" t="e">
        <f t="shared" si="27"/>
        <v>#N/A</v>
      </c>
      <c r="EU15" s="325" t="e">
        <f t="shared" si="37"/>
        <v>#N/A</v>
      </c>
      <c r="EV15" s="336"/>
      <c r="EW15" s="336"/>
      <c r="EX15" s="336"/>
      <c r="EY15" s="336"/>
      <c r="EZ15" s="336"/>
      <c r="FA15" s="336"/>
      <c r="FB15" s="336"/>
    </row>
    <row r="16" spans="1:165" ht="41.5" customHeight="1" thickTop="1" thickBot="1" x14ac:dyDescent="0.35">
      <c r="A16" s="330"/>
      <c r="B16" s="318"/>
      <c r="C16" s="318"/>
      <c r="D16" s="318"/>
      <c r="E16" s="318"/>
      <c r="F16" s="318"/>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18"/>
      <c r="AM16" s="317"/>
      <c r="AN16" s="317"/>
      <c r="AO16" s="511" t="e">
        <f t="shared" si="28"/>
        <v>#N/A</v>
      </c>
      <c r="AP16" s="511" t="e">
        <f t="shared" si="29"/>
        <v>#N/A</v>
      </c>
      <c r="AQ16" s="511" t="e">
        <f t="shared" si="30"/>
        <v>#N/A</v>
      </c>
      <c r="AR16" s="511" t="e">
        <f t="shared" si="31"/>
        <v>#N/A</v>
      </c>
      <c r="AS16" s="511" t="e">
        <f>HLOOKUP($C$1,'Inflation Adjustments'!$BI$3:$BT$4,2)*CR16</f>
        <v>#N/A</v>
      </c>
      <c r="AT16" s="317">
        <f>IF(BU16="In Service",'Maintenace Cost Assumptions'!$B$3*AS16,0)</f>
        <v>0</v>
      </c>
      <c r="AU16" s="318"/>
      <c r="AV16" s="318"/>
      <c r="AW16" s="318"/>
      <c r="AX16" s="318"/>
      <c r="AY16" s="318"/>
      <c r="AZ16" s="318"/>
      <c r="BA16" s="318"/>
      <c r="BB16" s="318"/>
      <c r="BC16" s="318"/>
      <c r="BD16" s="318"/>
      <c r="BE16" s="318"/>
      <c r="BF16" s="318"/>
      <c r="BG16" s="319">
        <f>(AU16*'Condition rating weights'!H$8+AV16*'Condition rating weights'!I$8+AW16*'Condition rating weights'!J$8+AX16*'Condition rating weights'!K$8+AY16*'Condition rating weights'!L$8+AZ16*'Condition rating weights'!M$8+BA16*'Condition rating weights'!N$8+BB16*'Condition rating weights'!O$8+BC16*'Condition rating weights'!P$8+BD16*'Condition rating weights'!Q$8+BE16*'Condition rating weights'!R$8+BF16*'Condition rating weights'!S$8)/100</f>
        <v>0</v>
      </c>
      <c r="BH16" s="333"/>
      <c r="BI16" s="333"/>
      <c r="BJ16" s="333"/>
      <c r="BK16" s="333"/>
      <c r="BL16" s="333"/>
      <c r="BM16" s="333"/>
      <c r="BN16" s="333"/>
      <c r="BO16" s="333"/>
      <c r="BP16" s="333"/>
      <c r="BQ16" s="333"/>
      <c r="BR16" s="333"/>
      <c r="BS16" s="333"/>
      <c r="BT16" s="334"/>
      <c r="BU16" s="335"/>
      <c r="BV16" s="255"/>
      <c r="CH16" s="323" t="e">
        <f t="shared" si="5"/>
        <v>#N/A</v>
      </c>
      <c r="CI16" s="323" t="e">
        <f t="shared" si="6"/>
        <v>#N/A</v>
      </c>
      <c r="CJ16" s="323" t="e">
        <f t="shared" si="7"/>
        <v>#N/A</v>
      </c>
      <c r="CK16" s="323" t="e">
        <f t="shared" si="8"/>
        <v>#N/A</v>
      </c>
      <c r="CL16" s="323" t="e">
        <f t="shared" si="9"/>
        <v>#N/A</v>
      </c>
      <c r="CM16" s="323" t="e">
        <f t="shared" si="10"/>
        <v>#N/A</v>
      </c>
      <c r="CN16" s="323" t="e">
        <f t="shared" si="11"/>
        <v>#N/A</v>
      </c>
      <c r="CO16" s="323" t="e">
        <f t="shared" si="12"/>
        <v>#N/A</v>
      </c>
      <c r="CP16" s="323" t="e">
        <f t="shared" si="13"/>
        <v>#N/A</v>
      </c>
      <c r="CQ16" s="323" t="e">
        <f t="shared" si="14"/>
        <v>#N/A</v>
      </c>
      <c r="CR16" s="324" t="e">
        <f t="shared" si="33"/>
        <v>#N/A</v>
      </c>
      <c r="CS16" s="325" t="e">
        <f>(HLOOKUP($AI16,'Inflation Adjustments'!$B$3:$BT$4,2,TRUE))*CH16</f>
        <v>#N/A</v>
      </c>
      <c r="CT16" s="325" t="e">
        <f>(HLOOKUP($AI16,'Inflation Adjustments'!$B$3:$BT$4,2,TRUE))*CI16</f>
        <v>#N/A</v>
      </c>
      <c r="CU16" s="325" t="e">
        <f>(HLOOKUP($AI16,'Inflation Adjustments'!$B$3:$BT$4,2,TRUE))*CJ16</f>
        <v>#N/A</v>
      </c>
      <c r="CV16" s="325" t="e">
        <f>(HLOOKUP($AI16,'Inflation Adjustments'!$B$3:$BT$4,2,TRUE))*CK16</f>
        <v>#N/A</v>
      </c>
      <c r="CW16" s="325" t="e">
        <f>(HLOOKUP($AI16,'Inflation Adjustments'!$B$3:$BT$4,2,TRUE))*CL16</f>
        <v>#N/A</v>
      </c>
      <c r="CX16" s="325" t="e">
        <f>(HLOOKUP($AI16,'Inflation Adjustments'!$B$3:$BT$4,2,TRUE))*CM16</f>
        <v>#N/A</v>
      </c>
      <c r="CY16" s="325" t="e">
        <f>(HLOOKUP($AI16,'Inflation Adjustments'!$B$3:$BT$4,2,TRUE))*CN16</f>
        <v>#N/A</v>
      </c>
      <c r="CZ16" s="325" t="e">
        <f>(HLOOKUP($AI16,'Inflation Adjustments'!$B$3:$BT$4,2,TRUE))*CO16</f>
        <v>#N/A</v>
      </c>
      <c r="DA16" s="325" t="e">
        <f>(HLOOKUP($AI16,'Inflation Adjustments'!$B$3:$BT$4,2,TRUE))*CP16</f>
        <v>#N/A</v>
      </c>
      <c r="DB16" s="325" t="e">
        <f>(HLOOKUP($AI16,'Inflation Adjustments'!$B$3:$BT$4,2,TRUE))*CQ16</f>
        <v>#N/A</v>
      </c>
      <c r="DC16" s="325" t="e">
        <f t="shared" si="34"/>
        <v>#N/A</v>
      </c>
      <c r="DD16" s="326">
        <f t="shared" si="15"/>
        <v>2022</v>
      </c>
      <c r="DE16" s="323" t="e">
        <f t="shared" si="16"/>
        <v>#N/A</v>
      </c>
      <c r="DF16" s="323" t="e">
        <f t="shared" si="17"/>
        <v>#N/A</v>
      </c>
      <c r="DG16" s="323" t="e">
        <f t="shared" si="18"/>
        <v>#N/A</v>
      </c>
      <c r="DH16" s="323" t="e">
        <f t="shared" si="19"/>
        <v>#N/A</v>
      </c>
      <c r="DI16" s="323" t="e">
        <f t="shared" si="20"/>
        <v>#N/A</v>
      </c>
      <c r="DJ16" s="323" t="e">
        <f t="shared" si="21"/>
        <v>#N/A</v>
      </c>
      <c r="DK16" s="323" t="e">
        <f t="shared" si="22"/>
        <v>#N/A</v>
      </c>
      <c r="DL16" s="323" t="e">
        <f t="shared" si="22"/>
        <v>#N/A</v>
      </c>
      <c r="DM16" s="323" t="e">
        <f t="shared" si="23"/>
        <v>#N/A</v>
      </c>
      <c r="DN16" s="323" t="e">
        <f t="shared" si="24"/>
        <v>#N/A</v>
      </c>
      <c r="DO16" s="327" t="e">
        <f t="shared" si="25"/>
        <v>#N/A</v>
      </c>
      <c r="DP16" s="327" t="e">
        <f t="shared" si="25"/>
        <v>#N/A</v>
      </c>
      <c r="DQ16" s="327" t="e">
        <f t="shared" si="25"/>
        <v>#N/A</v>
      </c>
      <c r="DR16" s="327" t="e">
        <f t="shared" si="25"/>
        <v>#N/A</v>
      </c>
      <c r="DS16" s="327" t="e">
        <f t="shared" si="25"/>
        <v>#N/A</v>
      </c>
      <c r="DT16" s="327" t="e">
        <f t="shared" si="25"/>
        <v>#N/A</v>
      </c>
      <c r="DU16" s="327" t="e">
        <f t="shared" si="25"/>
        <v>#N/A</v>
      </c>
      <c r="DV16" s="327" t="e">
        <f t="shared" si="25"/>
        <v>#N/A</v>
      </c>
      <c r="DW16" s="327" t="e">
        <f t="shared" si="25"/>
        <v>#N/A</v>
      </c>
      <c r="DX16" s="327" t="e">
        <f t="shared" si="25"/>
        <v>#N/A</v>
      </c>
      <c r="DY16" s="327" t="e">
        <f t="shared" si="35"/>
        <v>#N/A</v>
      </c>
      <c r="DZ16" s="323" t="e">
        <f t="shared" si="26"/>
        <v>#N/A</v>
      </c>
      <c r="EA16" s="323" t="e">
        <f t="shared" si="26"/>
        <v>#N/A</v>
      </c>
      <c r="EB16" s="323" t="e">
        <f t="shared" si="26"/>
        <v>#N/A</v>
      </c>
      <c r="EC16" s="323" t="e">
        <f t="shared" si="26"/>
        <v>#N/A</v>
      </c>
      <c r="ED16" s="323" t="e">
        <f t="shared" si="26"/>
        <v>#N/A</v>
      </c>
      <c r="EE16" s="323" t="e">
        <f t="shared" si="26"/>
        <v>#N/A</v>
      </c>
      <c r="EF16" s="323" t="e">
        <f t="shared" si="26"/>
        <v>#N/A</v>
      </c>
      <c r="EG16" s="323" t="e">
        <f t="shared" si="26"/>
        <v>#N/A</v>
      </c>
      <c r="EH16" s="323" t="e">
        <f t="shared" si="26"/>
        <v>#N/A</v>
      </c>
      <c r="EI16" s="323" t="e">
        <f t="shared" si="26"/>
        <v>#N/A</v>
      </c>
      <c r="EJ16" s="324" t="e">
        <f t="shared" si="36"/>
        <v>#N/A</v>
      </c>
      <c r="EK16" s="327" t="e">
        <f t="shared" si="27"/>
        <v>#N/A</v>
      </c>
      <c r="EL16" s="327" t="e">
        <f t="shared" si="27"/>
        <v>#N/A</v>
      </c>
      <c r="EM16" s="327" t="e">
        <f t="shared" si="27"/>
        <v>#N/A</v>
      </c>
      <c r="EN16" s="327" t="e">
        <f t="shared" si="27"/>
        <v>#N/A</v>
      </c>
      <c r="EO16" s="327" t="e">
        <f t="shared" si="27"/>
        <v>#N/A</v>
      </c>
      <c r="EP16" s="327" t="e">
        <f t="shared" si="27"/>
        <v>#N/A</v>
      </c>
      <c r="EQ16" s="327" t="e">
        <f t="shared" si="27"/>
        <v>#N/A</v>
      </c>
      <c r="ER16" s="327" t="e">
        <f t="shared" si="27"/>
        <v>#N/A</v>
      </c>
      <c r="ES16" s="327" t="e">
        <f t="shared" si="27"/>
        <v>#N/A</v>
      </c>
      <c r="ET16" s="327" t="e">
        <f t="shared" si="27"/>
        <v>#N/A</v>
      </c>
      <c r="EU16" s="325" t="e">
        <f t="shared" si="37"/>
        <v>#N/A</v>
      </c>
      <c r="EV16" s="336"/>
      <c r="EW16" s="336"/>
      <c r="EX16" s="336"/>
      <c r="EY16" s="336"/>
      <c r="EZ16" s="336"/>
      <c r="FA16" s="336"/>
      <c r="FB16" s="336"/>
    </row>
    <row r="17" spans="1:158" ht="41.5" customHeight="1" thickTop="1" thickBot="1" x14ac:dyDescent="0.35">
      <c r="A17" s="330"/>
      <c r="B17" s="318"/>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7"/>
      <c r="AN17" s="317"/>
      <c r="AO17" s="511" t="e">
        <f t="shared" si="28"/>
        <v>#N/A</v>
      </c>
      <c r="AP17" s="511" t="e">
        <f t="shared" si="29"/>
        <v>#N/A</v>
      </c>
      <c r="AQ17" s="511" t="e">
        <f t="shared" si="30"/>
        <v>#N/A</v>
      </c>
      <c r="AR17" s="511" t="e">
        <f t="shared" si="31"/>
        <v>#N/A</v>
      </c>
      <c r="AS17" s="511" t="e">
        <f>HLOOKUP($C$1,'Inflation Adjustments'!$BI$3:$BT$4,2)*CR17</f>
        <v>#N/A</v>
      </c>
      <c r="AT17" s="317">
        <f>IF(BU17="In Service",'Maintenace Cost Assumptions'!$B$3*AS17,0)</f>
        <v>0</v>
      </c>
      <c r="AU17" s="318"/>
      <c r="AV17" s="318"/>
      <c r="AW17" s="318"/>
      <c r="AX17" s="318"/>
      <c r="AY17" s="318"/>
      <c r="AZ17" s="318"/>
      <c r="BA17" s="318"/>
      <c r="BB17" s="318"/>
      <c r="BC17" s="318"/>
      <c r="BD17" s="318"/>
      <c r="BE17" s="318"/>
      <c r="BF17" s="318"/>
      <c r="BG17" s="319">
        <f>(AU17*'Condition rating weights'!H$8+AV17*'Condition rating weights'!I$8+AW17*'Condition rating weights'!J$8+AX17*'Condition rating weights'!K$8+AY17*'Condition rating weights'!L$8+AZ17*'Condition rating weights'!M$8+BA17*'Condition rating weights'!N$8+BB17*'Condition rating weights'!O$8+BC17*'Condition rating weights'!P$8+BD17*'Condition rating weights'!Q$8+BE17*'Condition rating weights'!R$8+BF17*'Condition rating weights'!S$8)/100</f>
        <v>0</v>
      </c>
      <c r="BH17" s="333"/>
      <c r="BI17" s="333"/>
      <c r="BJ17" s="333"/>
      <c r="BK17" s="333"/>
      <c r="BL17" s="333"/>
      <c r="BM17" s="333"/>
      <c r="BN17" s="333"/>
      <c r="BO17" s="333"/>
      <c r="BP17" s="333"/>
      <c r="BQ17" s="333"/>
      <c r="BR17" s="333"/>
      <c r="BS17" s="333"/>
      <c r="BT17" s="334"/>
      <c r="BU17" s="335"/>
      <c r="BV17" s="255"/>
      <c r="CH17" s="323" t="e">
        <f t="shared" si="5"/>
        <v>#N/A</v>
      </c>
      <c r="CI17" s="323" t="e">
        <f t="shared" si="6"/>
        <v>#N/A</v>
      </c>
      <c r="CJ17" s="323" t="e">
        <f t="shared" si="7"/>
        <v>#N/A</v>
      </c>
      <c r="CK17" s="323" t="e">
        <f t="shared" si="8"/>
        <v>#N/A</v>
      </c>
      <c r="CL17" s="323" t="e">
        <f t="shared" si="9"/>
        <v>#N/A</v>
      </c>
      <c r="CM17" s="323" t="e">
        <f t="shared" si="10"/>
        <v>#N/A</v>
      </c>
      <c r="CN17" s="323" t="e">
        <f t="shared" si="11"/>
        <v>#N/A</v>
      </c>
      <c r="CO17" s="323" t="e">
        <f t="shared" si="12"/>
        <v>#N/A</v>
      </c>
      <c r="CP17" s="323" t="e">
        <f t="shared" si="13"/>
        <v>#N/A</v>
      </c>
      <c r="CQ17" s="323" t="e">
        <f t="shared" si="14"/>
        <v>#N/A</v>
      </c>
      <c r="CR17" s="324" t="e">
        <f t="shared" si="33"/>
        <v>#N/A</v>
      </c>
      <c r="CS17" s="325" t="e">
        <f>(HLOOKUP($AI17,'Inflation Adjustments'!$B$3:$BT$4,2,TRUE))*CH17</f>
        <v>#N/A</v>
      </c>
      <c r="CT17" s="325" t="e">
        <f>(HLOOKUP($AI17,'Inflation Adjustments'!$B$3:$BT$4,2,TRUE))*CI17</f>
        <v>#N/A</v>
      </c>
      <c r="CU17" s="325" t="e">
        <f>(HLOOKUP($AI17,'Inflation Adjustments'!$B$3:$BT$4,2,TRUE))*CJ17</f>
        <v>#N/A</v>
      </c>
      <c r="CV17" s="325" t="e">
        <f>(HLOOKUP($AI17,'Inflation Adjustments'!$B$3:$BT$4,2,TRUE))*CK17</f>
        <v>#N/A</v>
      </c>
      <c r="CW17" s="325" t="e">
        <f>(HLOOKUP($AI17,'Inflation Adjustments'!$B$3:$BT$4,2,TRUE))*CL17</f>
        <v>#N/A</v>
      </c>
      <c r="CX17" s="325" t="e">
        <f>(HLOOKUP($AI17,'Inflation Adjustments'!$B$3:$BT$4,2,TRUE))*CM17</f>
        <v>#N/A</v>
      </c>
      <c r="CY17" s="325" t="e">
        <f>(HLOOKUP($AI17,'Inflation Adjustments'!$B$3:$BT$4,2,TRUE))*CN17</f>
        <v>#N/A</v>
      </c>
      <c r="CZ17" s="325" t="e">
        <f>(HLOOKUP($AI17,'Inflation Adjustments'!$B$3:$BT$4,2,TRUE))*CO17</f>
        <v>#N/A</v>
      </c>
      <c r="DA17" s="325" t="e">
        <f>(HLOOKUP($AI17,'Inflation Adjustments'!$B$3:$BT$4,2,TRUE))*CP17</f>
        <v>#N/A</v>
      </c>
      <c r="DB17" s="325" t="e">
        <f>(HLOOKUP($AI17,'Inflation Adjustments'!$B$3:$BT$4,2,TRUE))*CQ17</f>
        <v>#N/A</v>
      </c>
      <c r="DC17" s="325" t="e">
        <f t="shared" si="34"/>
        <v>#N/A</v>
      </c>
      <c r="DD17" s="326">
        <f t="shared" si="15"/>
        <v>2022</v>
      </c>
      <c r="DE17" s="323" t="e">
        <f t="shared" si="16"/>
        <v>#N/A</v>
      </c>
      <c r="DF17" s="323" t="e">
        <f t="shared" si="17"/>
        <v>#N/A</v>
      </c>
      <c r="DG17" s="323" t="e">
        <f t="shared" si="18"/>
        <v>#N/A</v>
      </c>
      <c r="DH17" s="323" t="e">
        <f t="shared" si="19"/>
        <v>#N/A</v>
      </c>
      <c r="DI17" s="323" t="e">
        <f t="shared" si="20"/>
        <v>#N/A</v>
      </c>
      <c r="DJ17" s="323" t="e">
        <f t="shared" si="21"/>
        <v>#N/A</v>
      </c>
      <c r="DK17" s="323" t="e">
        <f t="shared" si="22"/>
        <v>#N/A</v>
      </c>
      <c r="DL17" s="323" t="e">
        <f t="shared" si="22"/>
        <v>#N/A</v>
      </c>
      <c r="DM17" s="323" t="e">
        <f t="shared" si="23"/>
        <v>#N/A</v>
      </c>
      <c r="DN17" s="323" t="e">
        <f t="shared" si="24"/>
        <v>#N/A</v>
      </c>
      <c r="DO17" s="327" t="e">
        <f t="shared" si="25"/>
        <v>#N/A</v>
      </c>
      <c r="DP17" s="327" t="e">
        <f t="shared" si="25"/>
        <v>#N/A</v>
      </c>
      <c r="DQ17" s="327" t="e">
        <f t="shared" si="25"/>
        <v>#N/A</v>
      </c>
      <c r="DR17" s="327" t="e">
        <f t="shared" si="25"/>
        <v>#N/A</v>
      </c>
      <c r="DS17" s="327" t="e">
        <f t="shared" si="25"/>
        <v>#N/A</v>
      </c>
      <c r="DT17" s="327" t="e">
        <f t="shared" si="25"/>
        <v>#N/A</v>
      </c>
      <c r="DU17" s="327" t="e">
        <f t="shared" si="25"/>
        <v>#N/A</v>
      </c>
      <c r="DV17" s="327" t="e">
        <f t="shared" si="25"/>
        <v>#N/A</v>
      </c>
      <c r="DW17" s="327" t="e">
        <f t="shared" si="25"/>
        <v>#N/A</v>
      </c>
      <c r="DX17" s="327" t="e">
        <f t="shared" si="25"/>
        <v>#N/A</v>
      </c>
      <c r="DY17" s="327" t="e">
        <f t="shared" si="35"/>
        <v>#N/A</v>
      </c>
      <c r="DZ17" s="323" t="e">
        <f t="shared" si="26"/>
        <v>#N/A</v>
      </c>
      <c r="EA17" s="323" t="e">
        <f t="shared" si="26"/>
        <v>#N/A</v>
      </c>
      <c r="EB17" s="323" t="e">
        <f t="shared" si="26"/>
        <v>#N/A</v>
      </c>
      <c r="EC17" s="323" t="e">
        <f t="shared" si="26"/>
        <v>#N/A</v>
      </c>
      <c r="ED17" s="323" t="e">
        <f t="shared" si="26"/>
        <v>#N/A</v>
      </c>
      <c r="EE17" s="323" t="e">
        <f t="shared" si="26"/>
        <v>#N/A</v>
      </c>
      <c r="EF17" s="323" t="e">
        <f t="shared" si="26"/>
        <v>#N/A</v>
      </c>
      <c r="EG17" s="323" t="e">
        <f t="shared" si="26"/>
        <v>#N/A</v>
      </c>
      <c r="EH17" s="323" t="e">
        <f t="shared" si="26"/>
        <v>#N/A</v>
      </c>
      <c r="EI17" s="323" t="e">
        <f t="shared" si="26"/>
        <v>#N/A</v>
      </c>
      <c r="EJ17" s="324" t="e">
        <f t="shared" si="36"/>
        <v>#N/A</v>
      </c>
      <c r="EK17" s="327" t="e">
        <f t="shared" si="27"/>
        <v>#N/A</v>
      </c>
      <c r="EL17" s="327" t="e">
        <f t="shared" si="27"/>
        <v>#N/A</v>
      </c>
      <c r="EM17" s="327" t="e">
        <f t="shared" si="27"/>
        <v>#N/A</v>
      </c>
      <c r="EN17" s="327" t="e">
        <f t="shared" si="27"/>
        <v>#N/A</v>
      </c>
      <c r="EO17" s="327" t="e">
        <f t="shared" si="27"/>
        <v>#N/A</v>
      </c>
      <c r="EP17" s="327" t="e">
        <f t="shared" si="27"/>
        <v>#N/A</v>
      </c>
      <c r="EQ17" s="327" t="e">
        <f t="shared" si="27"/>
        <v>#N/A</v>
      </c>
      <c r="ER17" s="327" t="e">
        <f t="shared" si="27"/>
        <v>#N/A</v>
      </c>
      <c r="ES17" s="327" t="e">
        <f t="shared" si="27"/>
        <v>#N/A</v>
      </c>
      <c r="ET17" s="327" t="e">
        <f t="shared" si="27"/>
        <v>#N/A</v>
      </c>
      <c r="EU17" s="325" t="e">
        <f t="shared" si="37"/>
        <v>#N/A</v>
      </c>
      <c r="EV17" s="336"/>
      <c r="EW17" s="336"/>
      <c r="EX17" s="336"/>
      <c r="EY17" s="336"/>
      <c r="EZ17" s="336"/>
      <c r="FA17" s="336"/>
      <c r="FB17" s="336"/>
    </row>
    <row r="18" spans="1:158" ht="41.5" customHeight="1" thickTop="1" thickBot="1" x14ac:dyDescent="0.35">
      <c r="A18" s="330"/>
      <c r="B18" s="318"/>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7"/>
      <c r="AN18" s="317"/>
      <c r="AO18" s="511" t="e">
        <f t="shared" si="28"/>
        <v>#N/A</v>
      </c>
      <c r="AP18" s="511" t="e">
        <f t="shared" si="29"/>
        <v>#N/A</v>
      </c>
      <c r="AQ18" s="511" t="e">
        <f t="shared" si="30"/>
        <v>#N/A</v>
      </c>
      <c r="AR18" s="511" t="e">
        <f t="shared" si="31"/>
        <v>#N/A</v>
      </c>
      <c r="AS18" s="511" t="e">
        <f>HLOOKUP($C$1,'Inflation Adjustments'!$BI$3:$BT$4,2)*CR18</f>
        <v>#N/A</v>
      </c>
      <c r="AT18" s="317">
        <f>IF(BU18="In Service",'Maintenace Cost Assumptions'!$B$3*AS18,0)</f>
        <v>0</v>
      </c>
      <c r="AU18" s="318"/>
      <c r="AV18" s="318"/>
      <c r="AW18" s="318"/>
      <c r="AX18" s="318"/>
      <c r="AY18" s="318"/>
      <c r="AZ18" s="318"/>
      <c r="BA18" s="318"/>
      <c r="BB18" s="318"/>
      <c r="BC18" s="318"/>
      <c r="BD18" s="318"/>
      <c r="BE18" s="318"/>
      <c r="BF18" s="318"/>
      <c r="BG18" s="319">
        <f>(AU18*'Condition rating weights'!H$8+AV18*'Condition rating weights'!I$8+AW18*'Condition rating weights'!J$8+AX18*'Condition rating weights'!K$8+AY18*'Condition rating weights'!L$8+AZ18*'Condition rating weights'!M$8+BA18*'Condition rating weights'!N$8+BB18*'Condition rating weights'!O$8+BC18*'Condition rating weights'!P$8+BD18*'Condition rating weights'!Q$8+BE18*'Condition rating weights'!R$8+BF18*'Condition rating weights'!S$8)/100</f>
        <v>0</v>
      </c>
      <c r="BH18" s="333"/>
      <c r="BI18" s="333"/>
      <c r="BJ18" s="333"/>
      <c r="BK18" s="333"/>
      <c r="BL18" s="333"/>
      <c r="BM18" s="333"/>
      <c r="BN18" s="333"/>
      <c r="BO18" s="333"/>
      <c r="BP18" s="333"/>
      <c r="BQ18" s="333"/>
      <c r="BR18" s="333"/>
      <c r="BS18" s="333"/>
      <c r="BT18" s="334"/>
      <c r="BU18" s="335"/>
      <c r="BV18" s="255"/>
      <c r="CH18" s="323" t="e">
        <f t="shared" si="5"/>
        <v>#N/A</v>
      </c>
      <c r="CI18" s="323" t="e">
        <f t="shared" si="6"/>
        <v>#N/A</v>
      </c>
      <c r="CJ18" s="323" t="e">
        <f t="shared" si="7"/>
        <v>#N/A</v>
      </c>
      <c r="CK18" s="323" t="e">
        <f t="shared" si="8"/>
        <v>#N/A</v>
      </c>
      <c r="CL18" s="323" t="e">
        <f t="shared" si="9"/>
        <v>#N/A</v>
      </c>
      <c r="CM18" s="323" t="e">
        <f t="shared" si="10"/>
        <v>#N/A</v>
      </c>
      <c r="CN18" s="323" t="e">
        <f t="shared" si="11"/>
        <v>#N/A</v>
      </c>
      <c r="CO18" s="323" t="e">
        <f t="shared" si="12"/>
        <v>#N/A</v>
      </c>
      <c r="CP18" s="323" t="e">
        <f t="shared" si="13"/>
        <v>#N/A</v>
      </c>
      <c r="CQ18" s="323" t="e">
        <f t="shared" si="14"/>
        <v>#N/A</v>
      </c>
      <c r="CR18" s="324" t="e">
        <f t="shared" si="33"/>
        <v>#N/A</v>
      </c>
      <c r="CS18" s="325" t="e">
        <f>(HLOOKUP($AI18,'Inflation Adjustments'!$B$3:$BT$4,2,TRUE))*CH18</f>
        <v>#N/A</v>
      </c>
      <c r="CT18" s="325" t="e">
        <f>(HLOOKUP($AI18,'Inflation Adjustments'!$B$3:$BT$4,2,TRUE))*CI18</f>
        <v>#N/A</v>
      </c>
      <c r="CU18" s="325" t="e">
        <f>(HLOOKUP($AI18,'Inflation Adjustments'!$B$3:$BT$4,2,TRUE))*CJ18</f>
        <v>#N/A</v>
      </c>
      <c r="CV18" s="325" t="e">
        <f>(HLOOKUP($AI18,'Inflation Adjustments'!$B$3:$BT$4,2,TRUE))*CK18</f>
        <v>#N/A</v>
      </c>
      <c r="CW18" s="325" t="e">
        <f>(HLOOKUP($AI18,'Inflation Adjustments'!$B$3:$BT$4,2,TRUE))*CL18</f>
        <v>#N/A</v>
      </c>
      <c r="CX18" s="325" t="e">
        <f>(HLOOKUP($AI18,'Inflation Adjustments'!$B$3:$BT$4,2,TRUE))*CM18</f>
        <v>#N/A</v>
      </c>
      <c r="CY18" s="325" t="e">
        <f>(HLOOKUP($AI18,'Inflation Adjustments'!$B$3:$BT$4,2,TRUE))*CN18</f>
        <v>#N/A</v>
      </c>
      <c r="CZ18" s="325" t="e">
        <f>(HLOOKUP($AI18,'Inflation Adjustments'!$B$3:$BT$4,2,TRUE))*CO18</f>
        <v>#N/A</v>
      </c>
      <c r="DA18" s="325" t="e">
        <f>(HLOOKUP($AI18,'Inflation Adjustments'!$B$3:$BT$4,2,TRUE))*CP18</f>
        <v>#N/A</v>
      </c>
      <c r="DB18" s="325" t="e">
        <f>(HLOOKUP($AI18,'Inflation Adjustments'!$B$3:$BT$4,2,TRUE))*CQ18</f>
        <v>#N/A</v>
      </c>
      <c r="DC18" s="325" t="e">
        <f t="shared" si="34"/>
        <v>#N/A</v>
      </c>
      <c r="DD18" s="326">
        <f t="shared" si="15"/>
        <v>2022</v>
      </c>
      <c r="DE18" s="323" t="e">
        <f t="shared" si="16"/>
        <v>#N/A</v>
      </c>
      <c r="DF18" s="323" t="e">
        <f t="shared" si="17"/>
        <v>#N/A</v>
      </c>
      <c r="DG18" s="323" t="e">
        <f t="shared" si="18"/>
        <v>#N/A</v>
      </c>
      <c r="DH18" s="323" t="e">
        <f t="shared" si="19"/>
        <v>#N/A</v>
      </c>
      <c r="DI18" s="323" t="e">
        <f t="shared" si="20"/>
        <v>#N/A</v>
      </c>
      <c r="DJ18" s="323" t="e">
        <f t="shared" si="21"/>
        <v>#N/A</v>
      </c>
      <c r="DK18" s="323" t="e">
        <f t="shared" si="22"/>
        <v>#N/A</v>
      </c>
      <c r="DL18" s="323" t="e">
        <f t="shared" si="22"/>
        <v>#N/A</v>
      </c>
      <c r="DM18" s="323" t="e">
        <f t="shared" si="23"/>
        <v>#N/A</v>
      </c>
      <c r="DN18" s="323" t="e">
        <f t="shared" si="24"/>
        <v>#N/A</v>
      </c>
      <c r="DO18" s="327" t="e">
        <f t="shared" si="25"/>
        <v>#N/A</v>
      </c>
      <c r="DP18" s="327" t="e">
        <f t="shared" si="25"/>
        <v>#N/A</v>
      </c>
      <c r="DQ18" s="327" t="e">
        <f t="shared" si="25"/>
        <v>#N/A</v>
      </c>
      <c r="DR18" s="327" t="e">
        <f t="shared" si="25"/>
        <v>#N/A</v>
      </c>
      <c r="DS18" s="327" t="e">
        <f t="shared" si="25"/>
        <v>#N/A</v>
      </c>
      <c r="DT18" s="327" t="e">
        <f t="shared" si="25"/>
        <v>#N/A</v>
      </c>
      <c r="DU18" s="327" t="e">
        <f t="shared" si="25"/>
        <v>#N/A</v>
      </c>
      <c r="DV18" s="327" t="e">
        <f t="shared" si="25"/>
        <v>#N/A</v>
      </c>
      <c r="DW18" s="327" t="e">
        <f t="shared" si="25"/>
        <v>#N/A</v>
      </c>
      <c r="DX18" s="327" t="e">
        <f t="shared" si="25"/>
        <v>#N/A</v>
      </c>
      <c r="DY18" s="327" t="e">
        <f t="shared" si="35"/>
        <v>#N/A</v>
      </c>
      <c r="DZ18" s="323" t="e">
        <f t="shared" si="26"/>
        <v>#N/A</v>
      </c>
      <c r="EA18" s="323" t="e">
        <f t="shared" si="26"/>
        <v>#N/A</v>
      </c>
      <c r="EB18" s="323" t="e">
        <f t="shared" si="26"/>
        <v>#N/A</v>
      </c>
      <c r="EC18" s="323" t="e">
        <f t="shared" si="26"/>
        <v>#N/A</v>
      </c>
      <c r="ED18" s="323" t="e">
        <f t="shared" si="26"/>
        <v>#N/A</v>
      </c>
      <c r="EE18" s="323" t="e">
        <f t="shared" si="26"/>
        <v>#N/A</v>
      </c>
      <c r="EF18" s="323" t="e">
        <f t="shared" si="26"/>
        <v>#N/A</v>
      </c>
      <c r="EG18" s="323" t="e">
        <f t="shared" si="26"/>
        <v>#N/A</v>
      </c>
      <c r="EH18" s="323" t="e">
        <f t="shared" si="26"/>
        <v>#N/A</v>
      </c>
      <c r="EI18" s="323" t="e">
        <f t="shared" si="26"/>
        <v>#N/A</v>
      </c>
      <c r="EJ18" s="324" t="e">
        <f t="shared" si="36"/>
        <v>#N/A</v>
      </c>
      <c r="EK18" s="327" t="e">
        <f t="shared" si="27"/>
        <v>#N/A</v>
      </c>
      <c r="EL18" s="327" t="e">
        <f t="shared" si="27"/>
        <v>#N/A</v>
      </c>
      <c r="EM18" s="327" t="e">
        <f t="shared" si="27"/>
        <v>#N/A</v>
      </c>
      <c r="EN18" s="327" t="e">
        <f t="shared" si="27"/>
        <v>#N/A</v>
      </c>
      <c r="EO18" s="327" t="e">
        <f t="shared" si="27"/>
        <v>#N/A</v>
      </c>
      <c r="EP18" s="327" t="e">
        <f t="shared" si="27"/>
        <v>#N/A</v>
      </c>
      <c r="EQ18" s="327" t="e">
        <f t="shared" si="27"/>
        <v>#N/A</v>
      </c>
      <c r="ER18" s="327" t="e">
        <f t="shared" si="27"/>
        <v>#N/A</v>
      </c>
      <c r="ES18" s="327" t="e">
        <f t="shared" si="27"/>
        <v>#N/A</v>
      </c>
      <c r="ET18" s="327" t="e">
        <f t="shared" si="27"/>
        <v>#N/A</v>
      </c>
      <c r="EU18" s="325" t="e">
        <f t="shared" si="37"/>
        <v>#N/A</v>
      </c>
      <c r="EV18" s="336"/>
      <c r="EW18" s="336"/>
      <c r="EX18" s="336"/>
      <c r="EY18" s="336"/>
      <c r="EZ18" s="336"/>
      <c r="FA18" s="336"/>
      <c r="FB18" s="336"/>
    </row>
    <row r="19" spans="1:158" ht="59.5" customHeight="1" thickTop="1" thickBot="1" x14ac:dyDescent="0.35">
      <c r="A19" s="330"/>
      <c r="B19" s="318"/>
      <c r="C19" s="318"/>
      <c r="D19" s="318"/>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7"/>
      <c r="AN19" s="317"/>
      <c r="AO19" s="511" t="e">
        <f t="shared" si="28"/>
        <v>#N/A</v>
      </c>
      <c r="AP19" s="511" t="e">
        <f t="shared" si="29"/>
        <v>#N/A</v>
      </c>
      <c r="AQ19" s="511" t="e">
        <f t="shared" si="30"/>
        <v>#N/A</v>
      </c>
      <c r="AR19" s="511" t="e">
        <f t="shared" si="31"/>
        <v>#N/A</v>
      </c>
      <c r="AS19" s="511" t="e">
        <f>HLOOKUP($C$1,'Inflation Adjustments'!$BI$3:$BT$4,2)*CR19</f>
        <v>#N/A</v>
      </c>
      <c r="AT19" s="317">
        <f>IF(BU19="In Service",'Maintenace Cost Assumptions'!$B$3*AS19,0)</f>
        <v>0</v>
      </c>
      <c r="AU19" s="318"/>
      <c r="AV19" s="318"/>
      <c r="AW19" s="318"/>
      <c r="AX19" s="318"/>
      <c r="AY19" s="318"/>
      <c r="AZ19" s="318"/>
      <c r="BA19" s="318"/>
      <c r="BB19" s="318"/>
      <c r="BC19" s="318"/>
      <c r="BD19" s="318"/>
      <c r="BE19" s="318"/>
      <c r="BF19" s="318"/>
      <c r="BG19" s="319">
        <f>(AU19*'Condition rating weights'!H$8+AV19*'Condition rating weights'!I$8+AW19*'Condition rating weights'!J$8+AX19*'Condition rating weights'!K$8+AY19*'Condition rating weights'!L$8+AZ19*'Condition rating weights'!M$8+BA19*'Condition rating weights'!N$8+BB19*'Condition rating weights'!O$8+BC19*'Condition rating weights'!P$8+BD19*'Condition rating weights'!Q$8+BE19*'Condition rating weights'!R$8+BF19*'Condition rating weights'!S$8)/100</f>
        <v>0</v>
      </c>
      <c r="BH19" s="333"/>
      <c r="BI19" s="333"/>
      <c r="BJ19" s="333"/>
      <c r="BK19" s="333"/>
      <c r="BL19" s="333"/>
      <c r="BM19" s="333"/>
      <c r="BN19" s="333"/>
      <c r="BO19" s="333"/>
      <c r="BP19" s="333"/>
      <c r="BQ19" s="333"/>
      <c r="BR19" s="333"/>
      <c r="BS19" s="333"/>
      <c r="BT19" s="334"/>
      <c r="BU19" s="335"/>
      <c r="BV19" s="255"/>
      <c r="CH19" s="323" t="e">
        <f t="shared" si="5"/>
        <v>#N/A</v>
      </c>
      <c r="CI19" s="323" t="e">
        <f t="shared" si="6"/>
        <v>#N/A</v>
      </c>
      <c r="CJ19" s="323" t="e">
        <f t="shared" si="7"/>
        <v>#N/A</v>
      </c>
      <c r="CK19" s="323" t="e">
        <f t="shared" si="8"/>
        <v>#N/A</v>
      </c>
      <c r="CL19" s="323" t="e">
        <f t="shared" si="9"/>
        <v>#N/A</v>
      </c>
      <c r="CM19" s="323" t="e">
        <f t="shared" si="10"/>
        <v>#N/A</v>
      </c>
      <c r="CN19" s="323" t="e">
        <f t="shared" si="11"/>
        <v>#N/A</v>
      </c>
      <c r="CO19" s="323" t="e">
        <f t="shared" si="12"/>
        <v>#N/A</v>
      </c>
      <c r="CP19" s="323" t="e">
        <f t="shared" si="13"/>
        <v>#N/A</v>
      </c>
      <c r="CQ19" s="323" t="e">
        <f t="shared" si="14"/>
        <v>#N/A</v>
      </c>
      <c r="CR19" s="324" t="e">
        <f t="shared" si="33"/>
        <v>#N/A</v>
      </c>
      <c r="CS19" s="325" t="e">
        <f>(HLOOKUP($AI19,'Inflation Adjustments'!$B$3:$BT$4,2,TRUE))*CH19</f>
        <v>#N/A</v>
      </c>
      <c r="CT19" s="325" t="e">
        <f>(HLOOKUP($AI19,'Inflation Adjustments'!$B$3:$BT$4,2,TRUE))*CI19</f>
        <v>#N/A</v>
      </c>
      <c r="CU19" s="325" t="e">
        <f>(HLOOKUP($AI19,'Inflation Adjustments'!$B$3:$BT$4,2,TRUE))*CJ19</f>
        <v>#N/A</v>
      </c>
      <c r="CV19" s="325" t="e">
        <f>(HLOOKUP($AI19,'Inflation Adjustments'!$B$3:$BT$4,2,TRUE))*CK19</f>
        <v>#N/A</v>
      </c>
      <c r="CW19" s="325" t="e">
        <f>(HLOOKUP($AI19,'Inflation Adjustments'!$B$3:$BT$4,2,TRUE))*CL19</f>
        <v>#N/A</v>
      </c>
      <c r="CX19" s="325" t="e">
        <f>(HLOOKUP($AI19,'Inflation Adjustments'!$B$3:$BT$4,2,TRUE))*CM19</f>
        <v>#N/A</v>
      </c>
      <c r="CY19" s="325" t="e">
        <f>(HLOOKUP($AI19,'Inflation Adjustments'!$B$3:$BT$4,2,TRUE))*CN19</f>
        <v>#N/A</v>
      </c>
      <c r="CZ19" s="325" t="e">
        <f>(HLOOKUP($AI19,'Inflation Adjustments'!$B$3:$BT$4,2,TRUE))*CO19</f>
        <v>#N/A</v>
      </c>
      <c r="DA19" s="325" t="e">
        <f>(HLOOKUP($AI19,'Inflation Adjustments'!$B$3:$BT$4,2,TRUE))*CP19</f>
        <v>#N/A</v>
      </c>
      <c r="DB19" s="325" t="e">
        <f>(HLOOKUP($AI19,'Inflation Adjustments'!$B$3:$BT$4,2,TRUE))*CQ19</f>
        <v>#N/A</v>
      </c>
      <c r="DC19" s="325" t="e">
        <f t="shared" si="34"/>
        <v>#N/A</v>
      </c>
      <c r="DD19" s="326">
        <f t="shared" si="15"/>
        <v>2022</v>
      </c>
      <c r="DE19" s="323" t="e">
        <f t="shared" si="16"/>
        <v>#N/A</v>
      </c>
      <c r="DF19" s="323" t="e">
        <f t="shared" si="17"/>
        <v>#N/A</v>
      </c>
      <c r="DG19" s="323" t="e">
        <f t="shared" si="18"/>
        <v>#N/A</v>
      </c>
      <c r="DH19" s="323" t="e">
        <f t="shared" si="19"/>
        <v>#N/A</v>
      </c>
      <c r="DI19" s="323" t="e">
        <f t="shared" si="20"/>
        <v>#N/A</v>
      </c>
      <c r="DJ19" s="323" t="e">
        <f t="shared" si="21"/>
        <v>#N/A</v>
      </c>
      <c r="DK19" s="323" t="e">
        <f t="shared" si="22"/>
        <v>#N/A</v>
      </c>
      <c r="DL19" s="323" t="e">
        <f t="shared" si="22"/>
        <v>#N/A</v>
      </c>
      <c r="DM19" s="323" t="e">
        <f t="shared" si="23"/>
        <v>#N/A</v>
      </c>
      <c r="DN19" s="323" t="e">
        <f t="shared" si="24"/>
        <v>#N/A</v>
      </c>
      <c r="DO19" s="327" t="e">
        <f t="shared" si="25"/>
        <v>#N/A</v>
      </c>
      <c r="DP19" s="327" t="e">
        <f t="shared" si="25"/>
        <v>#N/A</v>
      </c>
      <c r="DQ19" s="327" t="e">
        <f t="shared" si="25"/>
        <v>#N/A</v>
      </c>
      <c r="DR19" s="327" t="e">
        <f t="shared" si="25"/>
        <v>#N/A</v>
      </c>
      <c r="DS19" s="327" t="e">
        <f t="shared" si="25"/>
        <v>#N/A</v>
      </c>
      <c r="DT19" s="327" t="e">
        <f t="shared" si="25"/>
        <v>#N/A</v>
      </c>
      <c r="DU19" s="327" t="e">
        <f t="shared" si="25"/>
        <v>#N/A</v>
      </c>
      <c r="DV19" s="327" t="e">
        <f t="shared" si="25"/>
        <v>#N/A</v>
      </c>
      <c r="DW19" s="327" t="e">
        <f t="shared" si="25"/>
        <v>#N/A</v>
      </c>
      <c r="DX19" s="327" t="e">
        <f t="shared" si="25"/>
        <v>#N/A</v>
      </c>
      <c r="DY19" s="327" t="e">
        <f t="shared" si="35"/>
        <v>#N/A</v>
      </c>
      <c r="DZ19" s="323" t="e">
        <f t="shared" si="26"/>
        <v>#N/A</v>
      </c>
      <c r="EA19" s="323" t="e">
        <f t="shared" si="26"/>
        <v>#N/A</v>
      </c>
      <c r="EB19" s="323" t="e">
        <f t="shared" si="26"/>
        <v>#N/A</v>
      </c>
      <c r="EC19" s="323" t="e">
        <f t="shared" si="26"/>
        <v>#N/A</v>
      </c>
      <c r="ED19" s="323" t="e">
        <f t="shared" si="26"/>
        <v>#N/A</v>
      </c>
      <c r="EE19" s="323" t="e">
        <f t="shared" si="26"/>
        <v>#N/A</v>
      </c>
      <c r="EF19" s="323" t="e">
        <f t="shared" si="26"/>
        <v>#N/A</v>
      </c>
      <c r="EG19" s="323" t="e">
        <f t="shared" si="26"/>
        <v>#N/A</v>
      </c>
      <c r="EH19" s="323" t="e">
        <f t="shared" si="26"/>
        <v>#N/A</v>
      </c>
      <c r="EI19" s="323" t="e">
        <f t="shared" si="26"/>
        <v>#N/A</v>
      </c>
      <c r="EJ19" s="324" t="e">
        <f t="shared" si="36"/>
        <v>#N/A</v>
      </c>
      <c r="EK19" s="327" t="e">
        <f t="shared" si="27"/>
        <v>#N/A</v>
      </c>
      <c r="EL19" s="327" t="e">
        <f t="shared" si="27"/>
        <v>#N/A</v>
      </c>
      <c r="EM19" s="327" t="e">
        <f t="shared" si="27"/>
        <v>#N/A</v>
      </c>
      <c r="EN19" s="327" t="e">
        <f t="shared" si="27"/>
        <v>#N/A</v>
      </c>
      <c r="EO19" s="327" t="e">
        <f t="shared" si="27"/>
        <v>#N/A</v>
      </c>
      <c r="EP19" s="327" t="e">
        <f t="shared" si="27"/>
        <v>#N/A</v>
      </c>
      <c r="EQ19" s="327" t="e">
        <f t="shared" si="27"/>
        <v>#N/A</v>
      </c>
      <c r="ER19" s="327" t="e">
        <f t="shared" si="27"/>
        <v>#N/A</v>
      </c>
      <c r="ES19" s="327" t="e">
        <f t="shared" si="27"/>
        <v>#N/A</v>
      </c>
      <c r="ET19" s="327" t="e">
        <f t="shared" si="27"/>
        <v>#N/A</v>
      </c>
      <c r="EU19" s="325" t="e">
        <f t="shared" si="37"/>
        <v>#N/A</v>
      </c>
      <c r="EV19" s="336"/>
      <c r="EW19" s="336"/>
      <c r="EX19" s="336"/>
      <c r="EY19" s="336"/>
      <c r="EZ19" s="336"/>
      <c r="FA19" s="336"/>
      <c r="FB19" s="336"/>
    </row>
    <row r="20" spans="1:158" ht="59.5" customHeight="1" thickTop="1" x14ac:dyDescent="0.3">
      <c r="A20" s="330"/>
      <c r="B20" s="318"/>
      <c r="C20" s="318"/>
      <c r="D20" s="318"/>
      <c r="E20" s="318"/>
      <c r="F20" s="318"/>
      <c r="G20" s="318"/>
      <c r="H20" s="318"/>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18"/>
      <c r="AI20" s="318"/>
      <c r="AJ20" s="318"/>
      <c r="AK20" s="318"/>
      <c r="AL20" s="318"/>
      <c r="AM20" s="388"/>
      <c r="AN20" s="317"/>
      <c r="AO20" s="388"/>
      <c r="AP20" s="388"/>
      <c r="AQ20" s="388"/>
      <c r="AR20" s="388"/>
      <c r="AS20" s="388"/>
      <c r="AT20" s="388"/>
      <c r="AU20" s="318"/>
      <c r="AV20" s="318"/>
      <c r="AW20" s="318"/>
      <c r="AX20" s="318"/>
      <c r="AY20" s="318"/>
      <c r="AZ20" s="318"/>
      <c r="BA20" s="318"/>
      <c r="BB20" s="318"/>
      <c r="BC20" s="318"/>
      <c r="BD20" s="318"/>
      <c r="BE20" s="318"/>
      <c r="BF20" s="318"/>
      <c r="BG20" s="319">
        <f>(AU20*'Condition rating weights'!H$8+AV20*'Condition rating weights'!I$8+AW20*'Condition rating weights'!J$8+AX20*'Condition rating weights'!K$8+AY20*'Condition rating weights'!L$8+AZ20*'Condition rating weights'!M$8+BA20*'Condition rating weights'!N$8+BB20*'Condition rating weights'!O$8+BC20*'Condition rating weights'!P$8+BD20*'Condition rating weights'!Q$8+BE20*'Condition rating weights'!R$8+BF20*'Condition rating weights'!S$8)/100</f>
        <v>0</v>
      </c>
      <c r="BH20" s="333"/>
      <c r="BI20" s="333"/>
      <c r="BJ20" s="333"/>
      <c r="BK20" s="333"/>
      <c r="BL20" s="333"/>
      <c r="BM20" s="333"/>
      <c r="BN20" s="333"/>
      <c r="BO20" s="333"/>
      <c r="BP20" s="333"/>
      <c r="BQ20" s="333"/>
      <c r="BR20" s="333"/>
      <c r="BS20" s="333"/>
      <c r="BT20" s="334"/>
      <c r="BU20" s="335"/>
      <c r="BV20" s="255"/>
      <c r="CH20" s="323" t="e">
        <f t="shared" si="5"/>
        <v>#N/A</v>
      </c>
      <c r="CI20" s="323" t="e">
        <f t="shared" si="6"/>
        <v>#N/A</v>
      </c>
      <c r="CJ20" s="323" t="e">
        <f t="shared" si="7"/>
        <v>#N/A</v>
      </c>
      <c r="CK20" s="323" t="e">
        <f t="shared" si="8"/>
        <v>#N/A</v>
      </c>
      <c r="CL20" s="323" t="e">
        <f t="shared" si="9"/>
        <v>#N/A</v>
      </c>
      <c r="CM20" s="323" t="e">
        <f t="shared" si="10"/>
        <v>#N/A</v>
      </c>
      <c r="CN20" s="323" t="e">
        <f t="shared" si="11"/>
        <v>#N/A</v>
      </c>
      <c r="CO20" s="323" t="e">
        <f t="shared" si="12"/>
        <v>#N/A</v>
      </c>
      <c r="CP20" s="323" t="e">
        <f t="shared" si="13"/>
        <v>#N/A</v>
      </c>
      <c r="CQ20" s="323" t="e">
        <f t="shared" si="14"/>
        <v>#N/A</v>
      </c>
      <c r="CR20" s="324" t="e">
        <f t="shared" si="33"/>
        <v>#N/A</v>
      </c>
      <c r="CS20" s="325" t="e">
        <f>(HLOOKUP($AI20,'Inflation Adjustments'!$B$3:$BT$4,2,TRUE))*CH20</f>
        <v>#N/A</v>
      </c>
      <c r="CT20" s="325" t="e">
        <f>(HLOOKUP($AI20,'Inflation Adjustments'!$B$3:$BT$4,2,TRUE))*CI20</f>
        <v>#N/A</v>
      </c>
      <c r="CU20" s="325" t="e">
        <f>(HLOOKUP($AI20,'Inflation Adjustments'!$B$3:$BT$4,2,TRUE))*CJ20</f>
        <v>#N/A</v>
      </c>
      <c r="CV20" s="325" t="e">
        <f>(HLOOKUP($AI20,'Inflation Adjustments'!$B$3:$BT$4,2,TRUE))*CK20</f>
        <v>#N/A</v>
      </c>
      <c r="CW20" s="325" t="e">
        <f>(HLOOKUP($AI20,'Inflation Adjustments'!$B$3:$BT$4,2,TRUE))*CL20</f>
        <v>#N/A</v>
      </c>
      <c r="CX20" s="325" t="e">
        <f>(HLOOKUP($AI20,'Inflation Adjustments'!$B$3:$BT$4,2,TRUE))*CM20</f>
        <v>#N/A</v>
      </c>
      <c r="CY20" s="325" t="e">
        <f>(HLOOKUP($AI20,'Inflation Adjustments'!$B$3:$BT$4,2,TRUE))*CN20</f>
        <v>#N/A</v>
      </c>
      <c r="CZ20" s="325" t="e">
        <f>(HLOOKUP($AI20,'Inflation Adjustments'!$B$3:$BT$4,2,TRUE))*CO20</f>
        <v>#N/A</v>
      </c>
      <c r="DA20" s="325" t="e">
        <f>(HLOOKUP($AI20,'Inflation Adjustments'!$B$3:$BT$4,2,TRUE))*CP20</f>
        <v>#N/A</v>
      </c>
      <c r="DB20" s="325" t="e">
        <f>(HLOOKUP($AI20,'Inflation Adjustments'!$B$3:$BT$4,2,TRUE))*CQ20</f>
        <v>#N/A</v>
      </c>
      <c r="DC20" s="325" t="e">
        <f t="shared" si="34"/>
        <v>#N/A</v>
      </c>
      <c r="DD20" s="326">
        <f t="shared" si="15"/>
        <v>2022</v>
      </c>
      <c r="DE20" s="323" t="e">
        <f t="shared" si="16"/>
        <v>#N/A</v>
      </c>
      <c r="DF20" s="323" t="e">
        <f t="shared" si="17"/>
        <v>#N/A</v>
      </c>
      <c r="DG20" s="323" t="e">
        <f t="shared" si="18"/>
        <v>#N/A</v>
      </c>
      <c r="DH20" s="323" t="e">
        <f t="shared" si="19"/>
        <v>#N/A</v>
      </c>
      <c r="DI20" s="323" t="e">
        <f t="shared" si="20"/>
        <v>#N/A</v>
      </c>
      <c r="DJ20" s="323" t="e">
        <f t="shared" si="21"/>
        <v>#N/A</v>
      </c>
      <c r="DK20" s="323" t="e">
        <f t="shared" si="22"/>
        <v>#N/A</v>
      </c>
      <c r="DL20" s="323" t="e">
        <f t="shared" si="22"/>
        <v>#N/A</v>
      </c>
      <c r="DM20" s="323" t="e">
        <f t="shared" si="23"/>
        <v>#N/A</v>
      </c>
      <c r="DN20" s="323" t="e">
        <f t="shared" si="24"/>
        <v>#N/A</v>
      </c>
      <c r="DO20" s="327" t="e">
        <f t="shared" si="25"/>
        <v>#N/A</v>
      </c>
      <c r="DP20" s="327" t="e">
        <f t="shared" si="25"/>
        <v>#N/A</v>
      </c>
      <c r="DQ20" s="327" t="e">
        <f t="shared" si="25"/>
        <v>#N/A</v>
      </c>
      <c r="DR20" s="327" t="e">
        <f t="shared" si="25"/>
        <v>#N/A</v>
      </c>
      <c r="DS20" s="327" t="e">
        <f t="shared" si="25"/>
        <v>#N/A</v>
      </c>
      <c r="DT20" s="327" t="e">
        <f t="shared" si="25"/>
        <v>#N/A</v>
      </c>
      <c r="DU20" s="327" t="e">
        <f t="shared" si="25"/>
        <v>#N/A</v>
      </c>
      <c r="DV20" s="327" t="e">
        <f t="shared" si="25"/>
        <v>#N/A</v>
      </c>
      <c r="DW20" s="327" t="e">
        <f t="shared" si="25"/>
        <v>#N/A</v>
      </c>
      <c r="DX20" s="327" t="e">
        <f t="shared" si="25"/>
        <v>#N/A</v>
      </c>
      <c r="DY20" s="327" t="e">
        <f t="shared" si="35"/>
        <v>#N/A</v>
      </c>
      <c r="DZ20" s="323" t="e">
        <f t="shared" si="26"/>
        <v>#N/A</v>
      </c>
      <c r="EA20" s="323" t="e">
        <f t="shared" si="26"/>
        <v>#N/A</v>
      </c>
      <c r="EB20" s="323" t="e">
        <f t="shared" si="26"/>
        <v>#N/A</v>
      </c>
      <c r="EC20" s="323" t="e">
        <f t="shared" si="26"/>
        <v>#N/A</v>
      </c>
      <c r="ED20" s="323" t="e">
        <f t="shared" si="26"/>
        <v>#N/A</v>
      </c>
      <c r="EE20" s="323" t="e">
        <f t="shared" si="26"/>
        <v>#N/A</v>
      </c>
      <c r="EF20" s="323" t="e">
        <f t="shared" si="26"/>
        <v>#N/A</v>
      </c>
      <c r="EG20" s="323" t="e">
        <f t="shared" si="26"/>
        <v>#N/A</v>
      </c>
      <c r="EH20" s="323" t="e">
        <f t="shared" si="26"/>
        <v>#N/A</v>
      </c>
      <c r="EI20" s="323" t="e">
        <f t="shared" si="26"/>
        <v>#N/A</v>
      </c>
      <c r="EJ20" s="324" t="e">
        <f t="shared" si="36"/>
        <v>#N/A</v>
      </c>
      <c r="EK20" s="327" t="e">
        <f t="shared" si="27"/>
        <v>#N/A</v>
      </c>
      <c r="EL20" s="327" t="e">
        <f t="shared" si="27"/>
        <v>#N/A</v>
      </c>
      <c r="EM20" s="327" t="e">
        <f t="shared" si="27"/>
        <v>#N/A</v>
      </c>
      <c r="EN20" s="327" t="e">
        <f t="shared" si="27"/>
        <v>#N/A</v>
      </c>
      <c r="EO20" s="327" t="e">
        <f t="shared" si="27"/>
        <v>#N/A</v>
      </c>
      <c r="EP20" s="327" t="e">
        <f t="shared" si="27"/>
        <v>#N/A</v>
      </c>
      <c r="EQ20" s="327" t="e">
        <f t="shared" si="27"/>
        <v>#N/A</v>
      </c>
      <c r="ER20" s="327" t="e">
        <f t="shared" si="27"/>
        <v>#N/A</v>
      </c>
      <c r="ES20" s="327" t="e">
        <f t="shared" si="27"/>
        <v>#N/A</v>
      </c>
      <c r="ET20" s="327" t="e">
        <f t="shared" si="27"/>
        <v>#N/A</v>
      </c>
      <c r="EU20" s="325" t="e">
        <f t="shared" si="37"/>
        <v>#N/A</v>
      </c>
      <c r="EV20" s="336"/>
      <c r="EW20" s="336"/>
      <c r="EX20" s="336"/>
      <c r="EY20" s="336"/>
      <c r="EZ20" s="336"/>
      <c r="FA20" s="336"/>
      <c r="FB20" s="336"/>
    </row>
    <row r="21" spans="1:158" x14ac:dyDescent="0.3">
      <c r="A21" s="255"/>
      <c r="B21" s="255"/>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c r="BM21" s="255"/>
      <c r="BN21" s="255"/>
      <c r="BO21" s="255"/>
      <c r="BP21" s="255"/>
      <c r="BQ21" s="255"/>
      <c r="BR21" s="255"/>
      <c r="BS21" s="255"/>
      <c r="BT21" s="339"/>
      <c r="BU21" s="339"/>
      <c r="BV21" s="255"/>
      <c r="CH21" s="340"/>
      <c r="CI21" s="340"/>
      <c r="CJ21" s="340"/>
      <c r="CK21" s="340"/>
      <c r="CL21" s="340"/>
      <c r="CM21" s="340"/>
      <c r="CN21" s="340"/>
      <c r="CO21" s="340"/>
      <c r="CP21" s="340"/>
      <c r="CQ21" s="340"/>
      <c r="CR21" s="341"/>
      <c r="CS21" s="341"/>
      <c r="CT21" s="341"/>
      <c r="CU21" s="341"/>
      <c r="CV21" s="341"/>
      <c r="CW21" s="341"/>
    </row>
    <row r="22" spans="1:158" x14ac:dyDescent="0.3">
      <c r="A22" s="255"/>
      <c r="B22" s="255"/>
      <c r="C22" s="255"/>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342"/>
      <c r="AN22" s="255"/>
      <c r="AO22" s="342"/>
      <c r="AP22" s="342"/>
      <c r="AQ22" s="255"/>
      <c r="AR22" s="255"/>
      <c r="AS22" s="389"/>
      <c r="AT22" s="389"/>
      <c r="AU22" s="255"/>
      <c r="AV22" s="255"/>
      <c r="AW22" s="255"/>
      <c r="AX22" s="255"/>
      <c r="AY22" s="255"/>
      <c r="AZ22" s="255"/>
      <c r="BA22" s="255"/>
      <c r="BB22" s="255"/>
      <c r="BC22" s="255"/>
      <c r="BD22" s="255"/>
      <c r="BE22" s="255"/>
      <c r="BF22" s="255"/>
      <c r="BG22" s="255"/>
      <c r="BH22" s="255"/>
      <c r="BI22" s="255"/>
      <c r="BJ22" s="255"/>
      <c r="BK22" s="255"/>
      <c r="BL22" s="255"/>
      <c r="BM22" s="255"/>
      <c r="BN22" s="255"/>
      <c r="BO22" s="255"/>
      <c r="BP22" s="255"/>
      <c r="BQ22" s="255"/>
      <c r="BR22" s="255"/>
      <c r="BS22" s="255"/>
      <c r="BT22" s="339"/>
      <c r="BU22" s="339"/>
      <c r="BV22" s="255"/>
    </row>
    <row r="23" spans="1:158" x14ac:dyDescent="0.3">
      <c r="AT23" s="343"/>
    </row>
    <row r="50" spans="2:46" ht="39" customHeight="1" x14ac:dyDescent="0.3">
      <c r="B50" s="91" t="s">
        <v>52</v>
      </c>
      <c r="AM50" s="508">
        <f>SUM(AM1:AM5)</f>
        <v>518096.25</v>
      </c>
      <c r="AN50" s="508">
        <f t="shared" ref="AN50:AT50" si="38">SUM(AN1:AN5)</f>
        <v>0</v>
      </c>
      <c r="AO50" s="508">
        <f t="shared" si="38"/>
        <v>22687.875</v>
      </c>
      <c r="AP50" s="508">
        <f t="shared" si="38"/>
        <v>495408.375</v>
      </c>
      <c r="AQ50" s="508">
        <f t="shared" si="38"/>
        <v>22687.875</v>
      </c>
      <c r="AR50" s="508">
        <f t="shared" si="38"/>
        <v>472720.5</v>
      </c>
      <c r="AS50" s="508">
        <f t="shared" si="38"/>
        <v>685182.29062499991</v>
      </c>
      <c r="AT50" s="508">
        <f t="shared" si="38"/>
        <v>3425.9114531249998</v>
      </c>
    </row>
  </sheetData>
  <mergeCells count="51">
    <mergeCell ref="A1:B1"/>
    <mergeCell ref="A2:I2"/>
    <mergeCell ref="J2:AE2"/>
    <mergeCell ref="AF2:AR2"/>
    <mergeCell ref="AS2:BG2"/>
    <mergeCell ref="EV2:FB2"/>
    <mergeCell ref="J3:S3"/>
    <mergeCell ref="T3:AC3"/>
    <mergeCell ref="AD3:AE3"/>
    <mergeCell ref="AG3:AH3"/>
    <mergeCell ref="AI3:AJ3"/>
    <mergeCell ref="AM3:AN3"/>
    <mergeCell ref="AO3:AO4"/>
    <mergeCell ref="AP3:AP4"/>
    <mergeCell ref="BH2:BT2"/>
    <mergeCell ref="AQ3:AQ4"/>
    <mergeCell ref="AR3:AR4"/>
    <mergeCell ref="AS3:AS4"/>
    <mergeCell ref="AT3:AT4"/>
    <mergeCell ref="AU3:BD3"/>
    <mergeCell ref="BN3:BN4"/>
    <mergeCell ref="BO3:BO4"/>
    <mergeCell ref="BP3:BP4"/>
    <mergeCell ref="BQ3:BQ4"/>
    <mergeCell ref="DO2:EJ2"/>
    <mergeCell ref="BI3:BI4"/>
    <mergeCell ref="BJ3:BJ4"/>
    <mergeCell ref="BK3:BK4"/>
    <mergeCell ref="BL3:BL4"/>
    <mergeCell ref="BM3:BM4"/>
    <mergeCell ref="BE3:BE4"/>
    <mergeCell ref="EX3:EX4"/>
    <mergeCell ref="BS3:BS4"/>
    <mergeCell ref="BT3:BT4"/>
    <mergeCell ref="BU3:BU4"/>
    <mergeCell ref="CH3:CR3"/>
    <mergeCell ref="CS3:DC3"/>
    <mergeCell ref="DE3:DN3"/>
    <mergeCell ref="DO3:DY3"/>
    <mergeCell ref="DZ3:EJ3"/>
    <mergeCell ref="EK3:EU3"/>
    <mergeCell ref="EV3:EV4"/>
    <mergeCell ref="EW3:EW4"/>
    <mergeCell ref="BR3:BR4"/>
    <mergeCell ref="BF3:BF4"/>
    <mergeCell ref="BH3:BH4"/>
    <mergeCell ref="EY3:EY4"/>
    <mergeCell ref="EZ3:EZ4"/>
    <mergeCell ref="FA3:FA4"/>
    <mergeCell ref="FB3:FB4"/>
    <mergeCell ref="FD5:FI5"/>
  </mergeCells>
  <conditionalFormatting sqref="AU5:BA5">
    <cfRule type="cellIs" dxfId="218" priority="10" operator="equal">
      <formula>1</formula>
    </cfRule>
    <cfRule type="cellIs" dxfId="217" priority="11" operator="equal">
      <formula>2</formula>
    </cfRule>
    <cfRule type="cellIs" dxfId="216" priority="12" operator="equal">
      <formula>3</formula>
    </cfRule>
    <cfRule type="cellIs" dxfId="215" priority="13" operator="greaterThan">
      <formula>3.5</formula>
    </cfRule>
  </conditionalFormatting>
  <conditionalFormatting sqref="BE5">
    <cfRule type="cellIs" dxfId="214" priority="6" operator="equal">
      <formula>1</formula>
    </cfRule>
    <cfRule type="cellIs" dxfId="213" priority="7" operator="equal">
      <formula>2</formula>
    </cfRule>
    <cfRule type="cellIs" dxfId="212" priority="8" operator="equal">
      <formula>3</formula>
    </cfRule>
    <cfRule type="cellIs" dxfId="211" priority="9" operator="greaterThan">
      <formula>3.5</formula>
    </cfRule>
  </conditionalFormatting>
  <conditionalFormatting sqref="BG5:BG20">
    <cfRule type="cellIs" dxfId="210" priority="1" operator="lessThan">
      <formula>0.3</formula>
    </cfRule>
    <cfRule type="cellIs" dxfId="209" priority="2" operator="between">
      <formula>0.3</formula>
      <formula>0.5</formula>
    </cfRule>
    <cfRule type="cellIs" dxfId="208" priority="3" operator="between">
      <formula>0.5</formula>
      <formula>0.6</formula>
    </cfRule>
    <cfRule type="cellIs" dxfId="207" priority="4" operator="greaterThan">
      <formula>0.6</formula>
    </cfRule>
    <cfRule type="cellIs" dxfId="206" priority="5" operator="lessThan">
      <formula>0.5</formula>
    </cfRule>
  </conditionalFormatting>
  <dataValidations count="8">
    <dataValidation type="list" allowBlank="1" showInputMessage="1" showErrorMessage="1" sqref="D14:D15 D17:D18" xr:uid="{7F9EED58-3E89-409F-B7F5-1A84AA5E557C}">
      <formula1>$D$4:$D$19</formula1>
    </dataValidation>
    <dataValidation type="list" allowBlank="1" showInputMessage="1" showErrorMessage="1" sqref="F19:F20 F6:F14" xr:uid="{3E150663-9EC9-42F7-A3D0-ED9BD9B6B8A6}">
      <formula1>$H$4:$H$21</formula1>
    </dataValidation>
    <dataValidation type="list" allowBlank="1" showInputMessage="1" showErrorMessage="1" sqref="J16:J20" xr:uid="{7E64C27B-F689-480E-8016-76371311AEE6}">
      <formula1>$J$5:$J$14</formula1>
    </dataValidation>
    <dataValidation type="list" allowBlank="1" showInputMessage="1" showErrorMessage="1" sqref="K19:K20 K6:K14" xr:uid="{DD88EEA9-2EB8-4F6C-9551-1E4D7C1FC786}">
      <formula1>$J$19:$J$26</formula1>
    </dataValidation>
    <dataValidation type="list" allowBlank="1" showInputMessage="1" showErrorMessage="1" sqref="L6:L8" xr:uid="{FC9A0006-0859-4846-AF04-7E31DE920D6F}">
      <formula1>$J$30:$J$36</formula1>
    </dataValidation>
    <dataValidation type="list" allowBlank="1" showInputMessage="1" showErrorMessage="1" sqref="M12 M6:M8" xr:uid="{B3AC05CF-BDBB-481D-8933-FC7A590E536A}">
      <formula1>$J$39:$J$45</formula1>
    </dataValidation>
    <dataValidation type="list" allowBlank="1" showInputMessage="1" showErrorMessage="1" sqref="R19:R20 R6:R14" xr:uid="{B3814CBE-2A51-4280-B60C-7E93AD43DA02}">
      <formula1>$J$88:$J$91</formula1>
    </dataValidation>
    <dataValidation type="list" allowBlank="1" showInputMessage="1" showErrorMessage="1" sqref="Y4:AC4" xr:uid="{98A71C7B-4792-4A04-B0D2-03901606CD39}">
      <formula1>$I$4:$I$16</formula1>
    </dataValidation>
  </dataValidations>
  <pageMargins left="0.7" right="0.7" top="0.75" bottom="0.75" header="0.3" footer="0.3"/>
  <headerFooter>
    <oddFooter>&amp;C_x000D_&amp;1#&amp;"Calibri"&amp;8&amp;K000000 INTERNAL. This information is accessible to ADB Management and staff. It may be shared outside ADB with appropriate permission.</oddFooter>
  </headerFooter>
  <extLst>
    <ext xmlns:x14="http://schemas.microsoft.com/office/spreadsheetml/2009/9/main" uri="{CCE6A557-97BC-4b89-ADB6-D9C93CAAB3DF}">
      <x14:dataValidations xmlns:xm="http://schemas.microsoft.com/office/excel/2006/main" count="17">
        <x14:dataValidation type="list" allowBlank="1" showInputMessage="1" showErrorMessage="1" xr:uid="{778A0372-A5CB-4E4B-A013-308929124CE9}">
          <x14:formula1>
            <xm:f>'Condition rating weights'!$C$29:$C$34</xm:f>
          </x14:formula1>
          <xm:sqref>AU5:BF5</xm:sqref>
        </x14:dataValidation>
        <x14:dataValidation type="list" allowBlank="1" showInputMessage="1" showErrorMessage="1" xr:uid="{F487E9B7-42AE-4A4C-9FAA-A55D61617775}">
          <x14:formula1>
            <xm:f>'Inflation Adjustments'!$B$3:$BT$3</xm:f>
          </x14:formula1>
          <xm:sqref>AG16 AG5 AG7:AG11 AG19:AG21</xm:sqref>
        </x14:dataValidation>
        <x14:dataValidation type="list" allowBlank="1" showInputMessage="1" showErrorMessage="1" xr:uid="{633F8103-DCAB-46BF-83C7-8F9796BA1A46}">
          <x14:formula1>
            <xm:f>'AR-Hierarchy '!$K$4:$K$17</xm:f>
          </x14:formula1>
          <xm:sqref>T5:AC20</xm:sqref>
        </x14:dataValidation>
        <x14:dataValidation type="list" allowBlank="1" showInputMessage="1" showErrorMessage="1" xr:uid="{5C9B28DF-C7A0-45DA-AE93-4CE238B21379}">
          <x14:formula1>
            <xm:f>'AR-Hierarchy '!$H$4:$H$20</xm:f>
          </x14:formula1>
          <xm:sqref>F16</xm:sqref>
        </x14:dataValidation>
        <x14:dataValidation type="list" allowBlank="1" showInputMessage="1" showErrorMessage="1" xr:uid="{3073E21D-D4D0-4207-8457-2CAED9736568}">
          <x14:formula1>
            <xm:f>'AR-Hierarchy '!$I$4:$I$14</xm:f>
          </x14:formula1>
          <xm:sqref>J4:S4</xm:sqref>
        </x14:dataValidation>
        <x14:dataValidation type="list" allowBlank="1" showInputMessage="1" showErrorMessage="1" xr:uid="{B20C73B0-6FA5-48B8-83BC-273EA17A360F}">
          <x14:formula1>
            <xm:f>'AR-Hierarchy '!$J$14:$J$21</xm:f>
          </x14:formula1>
          <xm:sqref>K16</xm:sqref>
        </x14:dataValidation>
        <x14:dataValidation type="list" allowBlank="1" showInputMessage="1" showErrorMessage="1" xr:uid="{F69B8DFE-417C-4D7D-895B-59FB1CBCB68E}">
          <x14:formula1>
            <xm:f>'AR-Hierarchy '!$J$5:$J$12</xm:f>
          </x14:formula1>
          <xm:sqref>J6:J8</xm:sqref>
        </x14:dataValidation>
        <x14:dataValidation type="list" allowBlank="1" showInputMessage="1" showErrorMessage="1" xr:uid="{2DA07DC3-5201-41D1-AA89-AE47E8855F3E}">
          <x14:formula1>
            <xm:f>'AR-Hierarchy '!$J$24:$J$32</xm:f>
          </x14:formula1>
          <xm:sqref>L12:L14 L5</xm:sqref>
        </x14:dataValidation>
        <x14:dataValidation type="list" allowBlank="1" showInputMessage="1" showErrorMessage="1" xr:uid="{D82766B9-7E4C-4757-BC03-61DD07515DD3}">
          <x14:formula1>
            <xm:f>'AR-Hierarchy '!$J$35:$J$41</xm:f>
          </x14:formula1>
          <xm:sqref>M14 M5</xm:sqref>
        </x14:dataValidation>
        <x14:dataValidation type="list" allowBlank="1" showInputMessage="1" showErrorMessage="1" xr:uid="{F75FE9D5-D064-4080-90DD-47C3346793E9}">
          <x14:formula1>
            <xm:f>'AR-Hierarchy '!$J$45:$J$51</xm:f>
          </x14:formula1>
          <xm:sqref>N5:N8</xm:sqref>
        </x14:dataValidation>
        <x14:dataValidation type="list" allowBlank="1" showInputMessage="1" showErrorMessage="1" xr:uid="{6C0CA46E-5EBE-4C7C-9F03-0C6BED1E1C6A}">
          <x14:formula1>
            <xm:f>'AR-Hierarchy '!$J$54:$J$60</xm:f>
          </x14:formula1>
          <xm:sqref>O5:O14</xm:sqref>
        </x14:dataValidation>
        <x14:dataValidation type="list" allowBlank="1" showInputMessage="1" showErrorMessage="1" xr:uid="{497E7C39-0100-4803-8B36-B69D94A96EDA}">
          <x14:formula1>
            <xm:f>'AR-Hierarchy '!$J$63:$J$68</xm:f>
          </x14:formula1>
          <xm:sqref>P5:P14</xm:sqref>
        </x14:dataValidation>
        <x14:dataValidation type="list" allowBlank="1" showInputMessage="1" showErrorMessage="1" xr:uid="{C301D12E-4E65-4C33-9CB1-6012F2D883AF}">
          <x14:formula1>
            <xm:f>'AR-Hierarchy '!$J$72:$J$77</xm:f>
          </x14:formula1>
          <xm:sqref>Q5:Q20</xm:sqref>
        </x14:dataValidation>
        <x14:dataValidation type="list" allowBlank="1" showInputMessage="1" showErrorMessage="1" xr:uid="{117AE306-9798-44C8-A8E3-F0EFCC0BD349}">
          <x14:formula1>
            <xm:f>'AR-Hierarchy '!$J$80:$J$83</xm:f>
          </x14:formula1>
          <xm:sqref>R16 R5</xm:sqref>
        </x14:dataValidation>
        <x14:dataValidation type="list" allowBlank="1" showInputMessage="1" showErrorMessage="1" xr:uid="{C1E414DF-9EEE-49BF-AFE7-BF2BA6B47097}">
          <x14:formula1>
            <xm:f>'AR-Hierarchy '!$J$86:$J$90</xm:f>
          </x14:formula1>
          <xm:sqref>S5:S14</xm:sqref>
        </x14:dataValidation>
        <x14:dataValidation type="list" allowBlank="1" showInputMessage="1" showErrorMessage="1" xr:uid="{E534B020-30D7-4BC7-A489-AD41106A78D5}">
          <x14:formula1>
            <xm:f>'AR-Hierarchy '!#REF!</xm:f>
          </x14:formula1>
          <xm:sqref>E5:E14 D7:D12</xm:sqref>
        </x14:dataValidation>
        <x14:dataValidation type="list" allowBlank="1" showInputMessage="1" showErrorMessage="1" xr:uid="{691D738B-EC31-4D4F-8BCB-E3F9B7CB1A31}">
          <x14:formula1>
            <xm:f>'AR-Hierarchy '!$B$4:$B$53</xm:f>
          </x14:formula1>
          <xm:sqref>C6:C14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67A8D-A92E-4689-9AF3-201B60175C6A}">
  <dimension ref="A1:FI51"/>
  <sheetViews>
    <sheetView topLeftCell="AL34" workbookViewId="0">
      <selection activeCell="AN51" sqref="AN51:AT51"/>
    </sheetView>
  </sheetViews>
  <sheetFormatPr defaultColWidth="8.81640625" defaultRowHeight="14" x14ac:dyDescent="0.3"/>
  <cols>
    <col min="1" max="71" width="35.6328125" style="91" customWidth="1"/>
    <col min="72" max="73" width="35.6328125" style="290" customWidth="1"/>
    <col min="74" max="75" width="8.81640625" style="91"/>
    <col min="76" max="76" width="8.81640625" style="91" customWidth="1"/>
    <col min="77" max="77" width="16.08984375" style="91" customWidth="1"/>
    <col min="78" max="85" width="8.81640625" style="91" customWidth="1"/>
    <col min="86" max="86" width="12.08984375" style="91" customWidth="1"/>
    <col min="87" max="87" width="10.90625" style="91" customWidth="1"/>
    <col min="88" max="88" width="11.81640625" style="91" customWidth="1"/>
    <col min="89" max="89" width="11" style="91" customWidth="1"/>
    <col min="90" max="90" width="11.453125" style="91" customWidth="1"/>
    <col min="91" max="91" width="12.54296875" style="91" customWidth="1"/>
    <col min="92" max="92" width="11.08984375" style="91" customWidth="1"/>
    <col min="93" max="93" width="8.81640625" style="91" customWidth="1"/>
    <col min="94" max="94" width="10.453125" style="91" customWidth="1"/>
    <col min="95" max="95" width="11.08984375" style="91" customWidth="1"/>
    <col min="96" max="101" width="12.1796875" style="91" customWidth="1"/>
    <col min="102" max="102" width="11.90625" style="91" customWidth="1"/>
    <col min="103" max="103" width="10.6328125" style="91" customWidth="1"/>
    <col min="104" max="104" width="8.81640625" style="91" customWidth="1"/>
    <col min="105" max="105" width="10.81640625" style="91" customWidth="1"/>
    <col min="106" max="106" width="8.81640625" style="91" customWidth="1"/>
    <col min="107" max="107" width="12" style="91" customWidth="1"/>
    <col min="108" max="108" width="16.36328125" style="91" customWidth="1"/>
    <col min="109" max="109" width="11.1796875" style="91" customWidth="1"/>
    <col min="110" max="113" width="10.6328125" style="91" customWidth="1"/>
    <col min="114" max="114" width="10" style="91" customWidth="1"/>
    <col min="115" max="115" width="10.90625" style="91" customWidth="1"/>
    <col min="116" max="116" width="9.08984375" style="91" customWidth="1"/>
    <col min="117" max="117" width="10.81640625" style="91" customWidth="1"/>
    <col min="118" max="118" width="8.81640625" style="91" customWidth="1"/>
    <col min="119" max="119" width="11.36328125" style="91" customWidth="1"/>
    <col min="120" max="123" width="10.81640625" style="91" customWidth="1"/>
    <col min="124" max="124" width="8.81640625" style="91" customWidth="1"/>
    <col min="125" max="125" width="9.08984375" style="91" customWidth="1"/>
    <col min="126" max="129" width="8.81640625" style="91" customWidth="1"/>
    <col min="130" max="130" width="11.36328125" style="91" customWidth="1"/>
    <col min="131" max="135" width="10.08984375" style="91" customWidth="1"/>
    <col min="136" max="139" width="8.81640625" style="91" customWidth="1"/>
    <col min="140" max="151" width="11.08984375" style="91" customWidth="1"/>
    <col min="152" max="155" width="11.54296875" style="91" customWidth="1"/>
    <col min="156" max="156" width="11.81640625" style="91" customWidth="1"/>
    <col min="157" max="158" width="12.1796875" style="91" customWidth="1"/>
    <col min="159" max="159" width="8.81640625" style="91" customWidth="1"/>
    <col min="160" max="160" width="13.1796875" style="91" customWidth="1"/>
    <col min="161" max="161" width="11.1796875" style="91" customWidth="1"/>
    <col min="162" max="163" width="8.81640625" style="91"/>
    <col min="164" max="164" width="32.453125" style="91" customWidth="1"/>
    <col min="165" max="16384" width="8.81640625" style="91"/>
  </cols>
  <sheetData>
    <row r="1" spans="1:165" ht="29.5" customHeight="1" thickTop="1" x14ac:dyDescent="0.3">
      <c r="A1" s="653" t="s">
        <v>32</v>
      </c>
      <c r="B1" s="654"/>
      <c r="C1" s="288">
        <v>2023</v>
      </c>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row>
    <row r="2" spans="1:165" ht="42" customHeight="1" thickBot="1" x14ac:dyDescent="0.35">
      <c r="A2" s="584" t="s">
        <v>1419</v>
      </c>
      <c r="B2" s="585"/>
      <c r="C2" s="585"/>
      <c r="D2" s="585"/>
      <c r="E2" s="585"/>
      <c r="F2" s="585"/>
      <c r="G2" s="585"/>
      <c r="H2" s="585"/>
      <c r="I2" s="585"/>
      <c r="J2" s="624" t="s">
        <v>298</v>
      </c>
      <c r="K2" s="585"/>
      <c r="L2" s="585"/>
      <c r="M2" s="585"/>
      <c r="N2" s="585"/>
      <c r="O2" s="585"/>
      <c r="P2" s="585"/>
      <c r="Q2" s="585"/>
      <c r="R2" s="585"/>
      <c r="S2" s="585"/>
      <c r="T2" s="585"/>
      <c r="U2" s="585"/>
      <c r="V2" s="585"/>
      <c r="W2" s="585"/>
      <c r="X2" s="585"/>
      <c r="Y2" s="585"/>
      <c r="Z2" s="585"/>
      <c r="AA2" s="585"/>
      <c r="AB2" s="585"/>
      <c r="AC2" s="585"/>
      <c r="AD2" s="585"/>
      <c r="AE2" s="586"/>
      <c r="AF2" s="592" t="s">
        <v>267</v>
      </c>
      <c r="AG2" s="593"/>
      <c r="AH2" s="593"/>
      <c r="AI2" s="593"/>
      <c r="AJ2" s="593"/>
      <c r="AK2" s="593"/>
      <c r="AL2" s="593"/>
      <c r="AM2" s="593"/>
      <c r="AN2" s="593"/>
      <c r="AO2" s="593"/>
      <c r="AP2" s="593"/>
      <c r="AQ2" s="593"/>
      <c r="AR2" s="594"/>
      <c r="AS2" s="592" t="s">
        <v>268</v>
      </c>
      <c r="AT2" s="593"/>
      <c r="AU2" s="593"/>
      <c r="AV2" s="593"/>
      <c r="AW2" s="593"/>
      <c r="AX2" s="593"/>
      <c r="AY2" s="593"/>
      <c r="AZ2" s="593"/>
      <c r="BA2" s="593"/>
      <c r="BB2" s="593"/>
      <c r="BC2" s="593"/>
      <c r="BD2" s="593"/>
      <c r="BE2" s="593"/>
      <c r="BF2" s="593"/>
      <c r="BG2" s="593"/>
      <c r="BH2" s="597" t="s">
        <v>312</v>
      </c>
      <c r="BI2" s="598"/>
      <c r="BJ2" s="598"/>
      <c r="BK2" s="598"/>
      <c r="BL2" s="598"/>
      <c r="BM2" s="598"/>
      <c r="BN2" s="598"/>
      <c r="BO2" s="598"/>
      <c r="BP2" s="598"/>
      <c r="BQ2" s="598"/>
      <c r="BR2" s="598"/>
      <c r="BS2" s="598"/>
      <c r="BT2" s="599"/>
      <c r="BU2" s="390"/>
      <c r="DO2" s="589" t="s">
        <v>828</v>
      </c>
      <c r="DP2" s="589"/>
      <c r="DQ2" s="589"/>
      <c r="DR2" s="589"/>
      <c r="DS2" s="589"/>
      <c r="DT2" s="589"/>
      <c r="DU2" s="589"/>
      <c r="DV2" s="589"/>
      <c r="DW2" s="589"/>
      <c r="DX2" s="589"/>
      <c r="DY2" s="589"/>
      <c r="DZ2" s="589"/>
      <c r="EA2" s="589"/>
      <c r="EB2" s="589"/>
      <c r="EC2" s="589"/>
      <c r="ED2" s="589"/>
      <c r="EE2" s="589"/>
      <c r="EF2" s="589"/>
      <c r="EG2" s="589"/>
      <c r="EH2" s="589"/>
      <c r="EI2" s="589"/>
      <c r="EJ2" s="589"/>
      <c r="EK2" s="93"/>
      <c r="EL2" s="93"/>
      <c r="EM2" s="93"/>
      <c r="EN2" s="93"/>
      <c r="EO2" s="93"/>
      <c r="EP2" s="93"/>
      <c r="EQ2" s="93"/>
      <c r="ER2" s="93"/>
      <c r="ES2" s="93"/>
      <c r="ET2" s="93"/>
      <c r="EU2" s="93"/>
      <c r="EV2" s="590" t="s">
        <v>829</v>
      </c>
      <c r="EW2" s="590"/>
      <c r="EX2" s="590"/>
      <c r="EY2" s="590"/>
      <c r="EZ2" s="590"/>
      <c r="FA2" s="590"/>
      <c r="FB2" s="590"/>
    </row>
    <row r="3" spans="1:165" ht="42" customHeight="1" thickTop="1" x14ac:dyDescent="0.3">
      <c r="A3" s="293" t="s">
        <v>0</v>
      </c>
      <c r="B3" s="294" t="s">
        <v>34</v>
      </c>
      <c r="C3" s="294" t="s">
        <v>250</v>
      </c>
      <c r="D3" s="294" t="s">
        <v>251</v>
      </c>
      <c r="E3" s="294" t="s">
        <v>1</v>
      </c>
      <c r="F3" s="294" t="s">
        <v>2</v>
      </c>
      <c r="G3" s="294" t="s">
        <v>252</v>
      </c>
      <c r="H3" s="294" t="s">
        <v>30</v>
      </c>
      <c r="I3" s="294" t="s">
        <v>31</v>
      </c>
      <c r="J3" s="616" t="s">
        <v>253</v>
      </c>
      <c r="K3" s="625"/>
      <c r="L3" s="625"/>
      <c r="M3" s="625"/>
      <c r="N3" s="625"/>
      <c r="O3" s="625"/>
      <c r="P3" s="625"/>
      <c r="Q3" s="625"/>
      <c r="R3" s="625"/>
      <c r="S3" s="626"/>
      <c r="T3" s="616" t="s">
        <v>254</v>
      </c>
      <c r="U3" s="625"/>
      <c r="V3" s="625"/>
      <c r="W3" s="625"/>
      <c r="X3" s="625"/>
      <c r="Y3" s="625"/>
      <c r="Z3" s="625"/>
      <c r="AA3" s="625"/>
      <c r="AB3" s="625"/>
      <c r="AC3" s="626"/>
      <c r="AD3" s="391" t="s">
        <v>255</v>
      </c>
      <c r="AE3" s="392"/>
      <c r="AF3" s="294" t="s">
        <v>259</v>
      </c>
      <c r="AG3" s="393" t="s">
        <v>38</v>
      </c>
      <c r="AH3" s="394"/>
      <c r="AI3" s="393" t="s">
        <v>261</v>
      </c>
      <c r="AJ3" s="395"/>
      <c r="AK3" s="296"/>
      <c r="AL3" s="296"/>
      <c r="AM3" s="395" t="s">
        <v>262</v>
      </c>
      <c r="AN3" s="395"/>
      <c r="AO3" s="395" t="s">
        <v>263</v>
      </c>
      <c r="AP3" s="395" t="s">
        <v>326</v>
      </c>
      <c r="AQ3" s="394" t="s">
        <v>33</v>
      </c>
      <c r="AR3" s="396" t="s">
        <v>264</v>
      </c>
      <c r="AS3" s="609" t="s">
        <v>265</v>
      </c>
      <c r="AT3" s="609" t="s">
        <v>266</v>
      </c>
      <c r="AU3" s="603" t="s">
        <v>53</v>
      </c>
      <c r="AV3" s="591"/>
      <c r="AW3" s="591"/>
      <c r="AX3" s="591"/>
      <c r="AY3" s="591"/>
      <c r="AZ3" s="591"/>
      <c r="BA3" s="591"/>
      <c r="BB3" s="591"/>
      <c r="BC3" s="591"/>
      <c r="BD3" s="604"/>
      <c r="BE3" s="609" t="s">
        <v>1580</v>
      </c>
      <c r="BF3" s="609"/>
      <c r="BG3" s="295" t="s">
        <v>1442</v>
      </c>
      <c r="BH3" s="605" t="s">
        <v>299</v>
      </c>
      <c r="BI3" s="605" t="s">
        <v>300</v>
      </c>
      <c r="BJ3" s="605" t="s">
        <v>301</v>
      </c>
      <c r="BK3" s="605" t="s">
        <v>302</v>
      </c>
      <c r="BL3" s="605" t="s">
        <v>303</v>
      </c>
      <c r="BM3" s="605" t="s">
        <v>304</v>
      </c>
      <c r="BN3" s="605" t="s">
        <v>305</v>
      </c>
      <c r="BO3" s="605" t="s">
        <v>306</v>
      </c>
      <c r="BP3" s="605" t="s">
        <v>307</v>
      </c>
      <c r="BQ3" s="605" t="s">
        <v>308</v>
      </c>
      <c r="BR3" s="605" t="s">
        <v>309</v>
      </c>
      <c r="BS3" s="605" t="s">
        <v>310</v>
      </c>
      <c r="BT3" s="616" t="s">
        <v>311</v>
      </c>
      <c r="BU3" s="617" t="s">
        <v>1428</v>
      </c>
      <c r="BY3" s="144"/>
      <c r="BZ3" s="144"/>
      <c r="CA3" s="372" t="s">
        <v>809</v>
      </c>
      <c r="CB3" s="144"/>
      <c r="CC3" s="144"/>
      <c r="CD3" s="144"/>
      <c r="CE3" s="144"/>
      <c r="CF3" s="144"/>
      <c r="CG3" s="144"/>
      <c r="CH3" s="639" t="s">
        <v>816</v>
      </c>
      <c r="CI3" s="639"/>
      <c r="CJ3" s="639"/>
      <c r="CK3" s="639"/>
      <c r="CL3" s="639"/>
      <c r="CM3" s="639"/>
      <c r="CN3" s="639"/>
      <c r="CO3" s="639"/>
      <c r="CP3" s="639"/>
      <c r="CQ3" s="639"/>
      <c r="CR3" s="639"/>
      <c r="CS3" s="646" t="s">
        <v>262</v>
      </c>
      <c r="CT3" s="646"/>
      <c r="CU3" s="646"/>
      <c r="CV3" s="646"/>
      <c r="CW3" s="646"/>
      <c r="CX3" s="646"/>
      <c r="CY3" s="646"/>
      <c r="CZ3" s="646"/>
      <c r="DA3" s="646"/>
      <c r="DB3" s="646"/>
      <c r="DC3" s="646"/>
      <c r="DD3" s="371"/>
      <c r="DE3" s="639" t="s">
        <v>825</v>
      </c>
      <c r="DF3" s="639"/>
      <c r="DG3" s="639"/>
      <c r="DH3" s="639"/>
      <c r="DI3" s="639"/>
      <c r="DJ3" s="639"/>
      <c r="DK3" s="639"/>
      <c r="DL3" s="639"/>
      <c r="DM3" s="639"/>
      <c r="DN3" s="639"/>
      <c r="DO3" s="646" t="s">
        <v>827</v>
      </c>
      <c r="DP3" s="646"/>
      <c r="DQ3" s="646"/>
      <c r="DR3" s="646"/>
      <c r="DS3" s="646"/>
      <c r="DT3" s="646"/>
      <c r="DU3" s="646"/>
      <c r="DV3" s="646"/>
      <c r="DW3" s="646"/>
      <c r="DX3" s="646"/>
      <c r="DY3" s="646"/>
      <c r="DZ3" s="639" t="s">
        <v>826</v>
      </c>
      <c r="EA3" s="639"/>
      <c r="EB3" s="639"/>
      <c r="EC3" s="639"/>
      <c r="ED3" s="639"/>
      <c r="EE3" s="639"/>
      <c r="EF3" s="639"/>
      <c r="EG3" s="639"/>
      <c r="EH3" s="639"/>
      <c r="EI3" s="639"/>
      <c r="EJ3" s="639"/>
      <c r="EK3" s="646" t="s">
        <v>833</v>
      </c>
      <c r="EL3" s="646"/>
      <c r="EM3" s="646"/>
      <c r="EN3" s="646"/>
      <c r="EO3" s="646"/>
      <c r="EP3" s="646"/>
      <c r="EQ3" s="646"/>
      <c r="ER3" s="646"/>
      <c r="ES3" s="646"/>
      <c r="ET3" s="646"/>
      <c r="EU3" s="646"/>
      <c r="EV3" s="645" t="s">
        <v>1026</v>
      </c>
      <c r="EW3" s="645" t="s">
        <v>1022</v>
      </c>
      <c r="EX3" s="645" t="s">
        <v>1023</v>
      </c>
      <c r="EY3" s="645" t="s">
        <v>1027</v>
      </c>
      <c r="EZ3" s="645" t="s">
        <v>1024</v>
      </c>
      <c r="FA3" s="645" t="s">
        <v>1025</v>
      </c>
      <c r="FB3" s="645" t="s">
        <v>33</v>
      </c>
    </row>
    <row r="4" spans="1:165" ht="32" customHeight="1" x14ac:dyDescent="0.3">
      <c r="A4" s="397"/>
      <c r="B4" s="398"/>
      <c r="C4" s="399"/>
      <c r="D4" s="399"/>
      <c r="E4" s="399"/>
      <c r="F4" s="399"/>
      <c r="G4" s="399"/>
      <c r="H4" s="399"/>
      <c r="I4" s="399"/>
      <c r="J4" s="399" t="s">
        <v>105</v>
      </c>
      <c r="K4" s="399" t="s">
        <v>106</v>
      </c>
      <c r="L4" s="399" t="s">
        <v>107</v>
      </c>
      <c r="M4" s="399" t="s">
        <v>108</v>
      </c>
      <c r="N4" s="399" t="s">
        <v>109</v>
      </c>
      <c r="O4" s="399" t="s">
        <v>120</v>
      </c>
      <c r="P4" s="399" t="s">
        <v>111</v>
      </c>
      <c r="Q4" s="399" t="s">
        <v>112</v>
      </c>
      <c r="R4" s="399" t="s">
        <v>113</v>
      </c>
      <c r="S4" s="399" t="s">
        <v>110</v>
      </c>
      <c r="T4" s="399" t="s">
        <v>935</v>
      </c>
      <c r="U4" s="399" t="s">
        <v>936</v>
      </c>
      <c r="V4" s="399" t="s">
        <v>937</v>
      </c>
      <c r="W4" s="399" t="s">
        <v>938</v>
      </c>
      <c r="X4" s="399" t="s">
        <v>939</v>
      </c>
      <c r="Y4" s="399" t="s">
        <v>120</v>
      </c>
      <c r="Z4" s="399" t="s">
        <v>111</v>
      </c>
      <c r="AA4" s="399" t="s">
        <v>112</v>
      </c>
      <c r="AB4" s="399" t="s">
        <v>113</v>
      </c>
      <c r="AC4" s="399" t="s">
        <v>110</v>
      </c>
      <c r="AD4" s="399" t="s">
        <v>256</v>
      </c>
      <c r="AE4" s="399" t="s">
        <v>257</v>
      </c>
      <c r="AF4" s="399"/>
      <c r="AG4" s="399" t="s">
        <v>38</v>
      </c>
      <c r="AH4" s="399" t="s">
        <v>260</v>
      </c>
      <c r="AI4" s="399" t="s">
        <v>261</v>
      </c>
      <c r="AJ4" s="399" t="s">
        <v>260</v>
      </c>
      <c r="AK4" s="399" t="s">
        <v>715</v>
      </c>
      <c r="AL4" s="399" t="s">
        <v>716</v>
      </c>
      <c r="AM4" s="399" t="s">
        <v>262</v>
      </c>
      <c r="AN4" s="399" t="s">
        <v>260</v>
      </c>
      <c r="AO4" s="400"/>
      <c r="AP4" s="400"/>
      <c r="AQ4" s="401"/>
      <c r="AR4" s="402"/>
      <c r="AS4" s="651"/>
      <c r="AT4" s="651"/>
      <c r="AU4" s="399" t="s">
        <v>164</v>
      </c>
      <c r="AV4" s="399" t="s">
        <v>36</v>
      </c>
      <c r="AW4" s="399" t="s">
        <v>5</v>
      </c>
      <c r="AX4" s="399" t="s">
        <v>3</v>
      </c>
      <c r="AY4" s="399" t="s">
        <v>165</v>
      </c>
      <c r="AZ4" s="399" t="s">
        <v>166</v>
      </c>
      <c r="BA4" s="399" t="s">
        <v>1578</v>
      </c>
      <c r="BB4" s="399"/>
      <c r="BC4" s="399"/>
      <c r="BD4" s="399"/>
      <c r="BE4" s="651"/>
      <c r="BF4" s="651"/>
      <c r="BG4" s="403" t="s">
        <v>37</v>
      </c>
      <c r="BH4" s="650"/>
      <c r="BI4" s="650"/>
      <c r="BJ4" s="650"/>
      <c r="BK4" s="650"/>
      <c r="BL4" s="650"/>
      <c r="BM4" s="650"/>
      <c r="BN4" s="650"/>
      <c r="BO4" s="650"/>
      <c r="BP4" s="650"/>
      <c r="BQ4" s="650"/>
      <c r="BR4" s="650"/>
      <c r="BS4" s="650"/>
      <c r="BT4" s="652"/>
      <c r="BU4" s="627"/>
      <c r="BY4" s="373"/>
      <c r="BZ4" s="376" t="str">
        <f>'AR-Hierarchy '!K4</f>
        <v>Basic Design</v>
      </c>
      <c r="CA4" s="376" t="str">
        <f>'AR-Hierarchy '!K5</f>
        <v>Standard Design</v>
      </c>
      <c r="CB4" s="376" t="str">
        <f>'AR-Hierarchy '!K6</f>
        <v xml:space="preserve">Superior Design </v>
      </c>
      <c r="CC4" s="376" t="str">
        <f>'AR-Hierarchy '!K7</f>
        <v>None</v>
      </c>
      <c r="CD4" s="376" t="str">
        <f>BZ4</f>
        <v>Basic Design</v>
      </c>
      <c r="CE4" s="376" t="str">
        <f>CA4</f>
        <v>Standard Design</v>
      </c>
      <c r="CF4" s="376" t="str">
        <f>CB4</f>
        <v xml:space="preserve">Superior Design </v>
      </c>
      <c r="CG4" s="373" t="s">
        <v>117</v>
      </c>
      <c r="CH4" s="374" t="str">
        <f>BY5</f>
        <v>Substructure</v>
      </c>
      <c r="CI4" s="371" t="str">
        <f>BY6</f>
        <v>Structure</v>
      </c>
      <c r="CJ4" s="371" t="str">
        <f>BY7</f>
        <v>Roofing</v>
      </c>
      <c r="CK4" s="374" t="str">
        <f>BY8</f>
        <v>Exterior Wall Cladding</v>
      </c>
      <c r="CL4" s="371" t="str">
        <f>BY9</f>
        <v>Fitouts</v>
      </c>
      <c r="CM4" s="371" t="str">
        <f>BY10</f>
        <v>Floor Covering</v>
      </c>
      <c r="CN4" s="374" t="str">
        <f>BY11</f>
        <v>Service Mechanical</v>
      </c>
      <c r="CO4" s="374" t="str">
        <f>BY12</f>
        <v>Services Electrical</v>
      </c>
      <c r="CP4" s="374" t="str">
        <f>BY13</f>
        <v>Services Sanitation</v>
      </c>
      <c r="CQ4" s="374" t="str">
        <f>BY14</f>
        <v>Services Water</v>
      </c>
      <c r="CR4" s="374" t="s">
        <v>823</v>
      </c>
      <c r="CS4" s="376" t="str">
        <f>CH4</f>
        <v>Substructure</v>
      </c>
      <c r="CT4" s="376" t="str">
        <f t="shared" ref="CT4:DB4" si="0">CI4</f>
        <v>Structure</v>
      </c>
      <c r="CU4" s="376" t="str">
        <f t="shared" si="0"/>
        <v>Roofing</v>
      </c>
      <c r="CV4" s="376" t="str">
        <f t="shared" si="0"/>
        <v>Exterior Wall Cladding</v>
      </c>
      <c r="CW4" s="376" t="str">
        <f t="shared" si="0"/>
        <v>Fitouts</v>
      </c>
      <c r="CX4" s="376" t="str">
        <f t="shared" si="0"/>
        <v>Floor Covering</v>
      </c>
      <c r="CY4" s="376" t="str">
        <f t="shared" si="0"/>
        <v>Service Mechanical</v>
      </c>
      <c r="CZ4" s="376" t="str">
        <f t="shared" si="0"/>
        <v>Services Electrical</v>
      </c>
      <c r="DA4" s="376" t="str">
        <f t="shared" si="0"/>
        <v>Services Sanitation</v>
      </c>
      <c r="DB4" s="376" t="str">
        <f t="shared" si="0"/>
        <v>Services Water</v>
      </c>
      <c r="DC4" s="376" t="s">
        <v>824</v>
      </c>
      <c r="DD4" s="374" t="s">
        <v>1028</v>
      </c>
      <c r="DE4" s="374" t="str">
        <f>CS4</f>
        <v>Substructure</v>
      </c>
      <c r="DF4" s="374" t="str">
        <f t="shared" ref="DF4:DN4" si="1">CT4</f>
        <v>Structure</v>
      </c>
      <c r="DG4" s="374" t="str">
        <f t="shared" si="1"/>
        <v>Roofing</v>
      </c>
      <c r="DH4" s="374" t="str">
        <f t="shared" si="1"/>
        <v>Exterior Wall Cladding</v>
      </c>
      <c r="DI4" s="374" t="str">
        <f t="shared" si="1"/>
        <v>Fitouts</v>
      </c>
      <c r="DJ4" s="374" t="str">
        <f t="shared" si="1"/>
        <v>Floor Covering</v>
      </c>
      <c r="DK4" s="374" t="str">
        <f t="shared" si="1"/>
        <v>Service Mechanical</v>
      </c>
      <c r="DL4" s="374" t="str">
        <f t="shared" si="1"/>
        <v>Services Electrical</v>
      </c>
      <c r="DM4" s="374" t="str">
        <f t="shared" si="1"/>
        <v>Services Sanitation</v>
      </c>
      <c r="DN4" s="374" t="str">
        <f t="shared" si="1"/>
        <v>Services Water</v>
      </c>
      <c r="DO4" s="376" t="str">
        <f>DE4</f>
        <v>Substructure</v>
      </c>
      <c r="DP4" s="376" t="str">
        <f t="shared" ref="DP4:DX4" si="2">DF4</f>
        <v>Structure</v>
      </c>
      <c r="DQ4" s="376" t="str">
        <f t="shared" si="2"/>
        <v>Roofing</v>
      </c>
      <c r="DR4" s="376" t="str">
        <f t="shared" si="2"/>
        <v>Exterior Wall Cladding</v>
      </c>
      <c r="DS4" s="376" t="str">
        <f t="shared" si="2"/>
        <v>Fitouts</v>
      </c>
      <c r="DT4" s="376" t="str">
        <f t="shared" si="2"/>
        <v>Floor Covering</v>
      </c>
      <c r="DU4" s="376" t="str">
        <f t="shared" si="2"/>
        <v>Service Mechanical</v>
      </c>
      <c r="DV4" s="376" t="str">
        <f t="shared" si="2"/>
        <v>Services Electrical</v>
      </c>
      <c r="DW4" s="376" t="str">
        <f t="shared" si="2"/>
        <v>Services Sanitation</v>
      </c>
      <c r="DX4" s="376" t="str">
        <f t="shared" si="2"/>
        <v>Services Water</v>
      </c>
      <c r="DY4" s="376" t="s">
        <v>1021</v>
      </c>
      <c r="DZ4" s="374" t="str">
        <f>DO4</f>
        <v>Substructure</v>
      </c>
      <c r="EA4" s="374" t="str">
        <f t="shared" ref="EA4:EI4" si="3">DP4</f>
        <v>Structure</v>
      </c>
      <c r="EB4" s="374" t="str">
        <f t="shared" si="3"/>
        <v>Roofing</v>
      </c>
      <c r="EC4" s="374" t="str">
        <f t="shared" si="3"/>
        <v>Exterior Wall Cladding</v>
      </c>
      <c r="ED4" s="374" t="str">
        <f t="shared" si="3"/>
        <v>Fitouts</v>
      </c>
      <c r="EE4" s="374" t="str">
        <f t="shared" si="3"/>
        <v>Floor Covering</v>
      </c>
      <c r="EF4" s="374" t="str">
        <f t="shared" si="3"/>
        <v>Service Mechanical</v>
      </c>
      <c r="EG4" s="374" t="str">
        <f t="shared" si="3"/>
        <v>Services Electrical</v>
      </c>
      <c r="EH4" s="374" t="str">
        <f t="shared" si="3"/>
        <v>Services Sanitation</v>
      </c>
      <c r="EI4" s="374" t="str">
        <f t="shared" si="3"/>
        <v>Services Water</v>
      </c>
      <c r="EJ4" s="374" t="s">
        <v>1021</v>
      </c>
      <c r="EK4" s="376" t="str">
        <f>DZ4</f>
        <v>Substructure</v>
      </c>
      <c r="EL4" s="376" t="str">
        <f t="shared" ref="EL4:ET4" si="4">EA4</f>
        <v>Structure</v>
      </c>
      <c r="EM4" s="376" t="str">
        <f t="shared" si="4"/>
        <v>Roofing</v>
      </c>
      <c r="EN4" s="376" t="str">
        <f t="shared" si="4"/>
        <v>Exterior Wall Cladding</v>
      </c>
      <c r="EO4" s="376" t="str">
        <f t="shared" si="4"/>
        <v>Fitouts</v>
      </c>
      <c r="EP4" s="376" t="str">
        <f t="shared" si="4"/>
        <v>Floor Covering</v>
      </c>
      <c r="EQ4" s="376" t="str">
        <f t="shared" si="4"/>
        <v>Service Mechanical</v>
      </c>
      <c r="ER4" s="376" t="str">
        <f t="shared" si="4"/>
        <v>Services Electrical</v>
      </c>
      <c r="ES4" s="376" t="str">
        <f t="shared" si="4"/>
        <v>Services Sanitation</v>
      </c>
      <c r="ET4" s="376" t="str">
        <f t="shared" si="4"/>
        <v>Services Water</v>
      </c>
      <c r="EU4" s="376" t="s">
        <v>52</v>
      </c>
      <c r="EV4" s="645"/>
      <c r="EW4" s="645"/>
      <c r="EX4" s="645"/>
      <c r="EY4" s="645"/>
      <c r="EZ4" s="645"/>
      <c r="FA4" s="645"/>
      <c r="FB4" s="645"/>
    </row>
    <row r="5" spans="1:165" ht="35" customHeight="1" thickBot="1" x14ac:dyDescent="0.35">
      <c r="A5" s="406" t="s">
        <v>1772</v>
      </c>
      <c r="B5" s="357" t="s">
        <v>942</v>
      </c>
      <c r="C5" s="357" t="s">
        <v>64</v>
      </c>
      <c r="D5" s="357" t="s">
        <v>80</v>
      </c>
      <c r="E5" s="357" t="s">
        <v>8</v>
      </c>
      <c r="F5" s="357" t="s">
        <v>945</v>
      </c>
      <c r="G5" s="357" t="s">
        <v>724</v>
      </c>
      <c r="H5" s="357" t="s">
        <v>956</v>
      </c>
      <c r="I5" s="357" t="s">
        <v>957</v>
      </c>
      <c r="J5" s="357" t="s">
        <v>1045</v>
      </c>
      <c r="K5" s="357" t="s">
        <v>1046</v>
      </c>
      <c r="L5" s="357" t="s">
        <v>1056</v>
      </c>
      <c r="M5" s="357" t="s">
        <v>1059</v>
      </c>
      <c r="N5" s="357" t="s">
        <v>1069</v>
      </c>
      <c r="O5" s="357" t="s">
        <v>1072</v>
      </c>
      <c r="P5" s="357" t="s">
        <v>1077</v>
      </c>
      <c r="Q5" s="357" t="s">
        <v>1082</v>
      </c>
      <c r="R5" s="357" t="s">
        <v>1086</v>
      </c>
      <c r="S5" s="357" t="s">
        <v>1089</v>
      </c>
      <c r="T5" s="357" t="s">
        <v>104</v>
      </c>
      <c r="U5" s="357" t="s">
        <v>104</v>
      </c>
      <c r="V5" s="357" t="s">
        <v>104</v>
      </c>
      <c r="W5" s="357" t="s">
        <v>104</v>
      </c>
      <c r="X5" s="357" t="s">
        <v>117</v>
      </c>
      <c r="Y5" s="357" t="s">
        <v>117</v>
      </c>
      <c r="Z5" s="357" t="s">
        <v>104</v>
      </c>
      <c r="AA5" s="357" t="s">
        <v>104</v>
      </c>
      <c r="AB5" s="357" t="s">
        <v>104</v>
      </c>
      <c r="AC5" s="357" t="s">
        <v>104</v>
      </c>
      <c r="AD5" s="357" t="s">
        <v>1771</v>
      </c>
      <c r="AE5" s="357">
        <v>490</v>
      </c>
      <c r="AF5" s="357">
        <f>'GRC and TUL Assumptions'!G6</f>
        <v>60</v>
      </c>
      <c r="AG5" s="407">
        <v>1980</v>
      </c>
      <c r="AH5" s="357" t="s">
        <v>800</v>
      </c>
      <c r="AI5" s="357">
        <f>AG5</f>
        <v>1980</v>
      </c>
      <c r="AJ5" s="357" t="str">
        <f>AH5</f>
        <v>Estimated</v>
      </c>
      <c r="AK5" s="357">
        <v>2005</v>
      </c>
      <c r="AL5" s="357" t="s">
        <v>958</v>
      </c>
      <c r="AM5" s="408">
        <f>DC5+EW5</f>
        <v>233743.19534168029</v>
      </c>
      <c r="AN5" s="357" t="s">
        <v>800</v>
      </c>
      <c r="AO5" s="513">
        <f>EJ5+FA5</f>
        <v>199077.76738008263</v>
      </c>
      <c r="AP5" s="513">
        <f>AM5-AO5</f>
        <v>34665.427961597656</v>
      </c>
      <c r="AQ5" s="513">
        <f>EU5+FB5</f>
        <v>2754.0017726569249</v>
      </c>
      <c r="AR5" s="513">
        <f>AP5-AQ5</f>
        <v>31911.426188940732</v>
      </c>
      <c r="AS5" s="514">
        <f>HLOOKUP($C$1,'Inflation Adjustments'!$BI$3:$BT$4,2)*CR5</f>
        <v>1481202.8929687499</v>
      </c>
      <c r="AT5" s="513">
        <f>IF(BU5="In Service",'Maintenace Cost Assumptions'!$B$3*AS5,0)</f>
        <v>7406.014464843749</v>
      </c>
      <c r="AU5" s="357">
        <v>3</v>
      </c>
      <c r="AV5" s="357">
        <v>3</v>
      </c>
      <c r="AW5" s="407">
        <v>2</v>
      </c>
      <c r="AX5" s="357">
        <v>3</v>
      </c>
      <c r="AY5" s="357">
        <v>3</v>
      </c>
      <c r="AZ5" s="357">
        <v>3</v>
      </c>
      <c r="BA5" s="357">
        <v>2</v>
      </c>
      <c r="BB5" s="357"/>
      <c r="BC5" s="357"/>
      <c r="BD5" s="357"/>
      <c r="BE5" s="357">
        <v>3</v>
      </c>
      <c r="BF5" s="357"/>
      <c r="BG5" s="409">
        <f>(AU5*'Condition rating weights'!H$8+AV5*'Condition rating weights'!I$8+AW5*'Condition rating weights'!J$8+AX5*'Condition rating weights'!K$8+AY5*'Condition rating weights'!L$8+AZ5*'Condition rating weights'!M$8+BA5*'Condition rating weights'!N$8+BB5*'Condition rating weights'!O$8+BC5*'Condition rating weights'!P$8+BD5*'Condition rating weights'!Q$8+BE5*'Condition rating weights'!R$8+BF5*'Condition rating weights'!S$8)/100</f>
        <v>0.56999999999999995</v>
      </c>
      <c r="BH5" s="410">
        <v>2</v>
      </c>
      <c r="BI5" s="410">
        <v>221</v>
      </c>
      <c r="BJ5" s="410" t="s">
        <v>12</v>
      </c>
      <c r="BK5" s="410" t="s">
        <v>959</v>
      </c>
      <c r="BL5" s="410" t="s">
        <v>960</v>
      </c>
      <c r="BM5" s="410" t="s">
        <v>961</v>
      </c>
      <c r="BN5" s="410" t="s">
        <v>117</v>
      </c>
      <c r="BO5" s="410" t="s">
        <v>962</v>
      </c>
      <c r="BP5" s="410" t="s">
        <v>962</v>
      </c>
      <c r="BQ5" s="410" t="s">
        <v>963</v>
      </c>
      <c r="BR5" s="410" t="s">
        <v>964</v>
      </c>
      <c r="BS5" s="410" t="s">
        <v>964</v>
      </c>
      <c r="BT5" s="411" t="s">
        <v>965</v>
      </c>
      <c r="BU5" s="412" t="s">
        <v>1430</v>
      </c>
      <c r="BV5" s="346"/>
      <c r="BY5" s="376" t="str">
        <f>'GRC and TUL Assumptions'!A5</f>
        <v>Substructure</v>
      </c>
      <c r="BZ5" s="373">
        <f>'GRC and TUL Assumptions'!C5</f>
        <v>150</v>
      </c>
      <c r="CA5" s="373">
        <f>'GRC and TUL Assumptions'!D5</f>
        <v>200</v>
      </c>
      <c r="CB5" s="373">
        <f>'GRC and TUL Assumptions'!E5</f>
        <v>300</v>
      </c>
      <c r="CC5" s="373">
        <v>0</v>
      </c>
      <c r="CD5" s="373">
        <f>'GRC and TUL Assumptions'!F5</f>
        <v>40</v>
      </c>
      <c r="CE5" s="373">
        <f>'GRC and TUL Assumptions'!G5</f>
        <v>60</v>
      </c>
      <c r="CF5" s="373">
        <f>'GRC and TUL Assumptions'!H5</f>
        <v>60</v>
      </c>
      <c r="CG5" s="373">
        <f>CD5</f>
        <v>40</v>
      </c>
      <c r="CH5" s="378">
        <f t="shared" ref="CH5:CH34" si="5">(HLOOKUP(T5,$BZ$4:$CC$14,2,TRUE))*$AE5</f>
        <v>98000</v>
      </c>
      <c r="CI5" s="378">
        <f t="shared" ref="CI5:CI34" si="6">(HLOOKUP(U5,$BZ$4:$CC$14,3,TRUE))*$AE5</f>
        <v>392000</v>
      </c>
      <c r="CJ5" s="378">
        <f t="shared" ref="CJ5:CJ34" si="7">(HLOOKUP(V5,$BZ$4:$CC$14,4,TRUE))*$AE5/BH5</f>
        <v>36750</v>
      </c>
      <c r="CK5" s="378">
        <f t="shared" ref="CK5:CK34" si="8">(HLOOKUP(W5,$BZ$4:$CC$14,5,TRUE))*$AE5</f>
        <v>112700</v>
      </c>
      <c r="CL5" s="378">
        <f t="shared" ref="CL5:CL34" si="9">(HLOOKUP(X5,$BZ$4:$CC$14,6,TRUE))*$AE5</f>
        <v>122500</v>
      </c>
      <c r="CM5" s="378">
        <f t="shared" ref="CM5:CM34" si="10">(HLOOKUP(Y5,$BZ$4:$CC$14,7,TRUE))*$AE5</f>
        <v>49000</v>
      </c>
      <c r="CN5" s="378">
        <f t="shared" ref="CN5:CN34" si="11">(HLOOKUP(Z5,$BZ$4:$CC$14,8,FALSE))*$AE5</f>
        <v>49000</v>
      </c>
      <c r="CO5" s="378">
        <f t="shared" ref="CO5:CO34" si="12">(HLOOKUP(AA5,$BZ$4:$CC$14,9,FALSE))*$AE5</f>
        <v>49000</v>
      </c>
      <c r="CP5" s="378">
        <f t="shared" ref="CP5:CP34" si="13">(HLOOKUP(AB5,$BZ$4:$CC$14,10,FALSE))*$AE5</f>
        <v>63700</v>
      </c>
      <c r="CQ5" s="378">
        <f t="shared" ref="CQ5:CQ34" si="14">(HLOOKUP(AC5,$BZ$4:$CC$14,11,FALSE))*$AE5</f>
        <v>19600</v>
      </c>
      <c r="CR5" s="354">
        <f>SUM(CH5:CQ5)</f>
        <v>992250</v>
      </c>
      <c r="CS5" s="379">
        <f>(HLOOKUP($AI5,'Inflation Adjustments'!$M$3:$BT$4,2,TRUE))*CH5</f>
        <v>21122.738114901498</v>
      </c>
      <c r="CT5" s="379">
        <f>(HLOOKUP($AI5,'Inflation Adjustments'!$M$3:$BT$4,2,TRUE))*CI5</f>
        <v>84490.952459605993</v>
      </c>
      <c r="CU5" s="379">
        <f>(HLOOKUP($AI5,'Inflation Adjustments'!$M$3:$BT$4,2,TRUE))*CJ5</f>
        <v>7921.0267930880627</v>
      </c>
      <c r="CV5" s="379">
        <f>(HLOOKUP($AI5,'Inflation Adjustments'!$M$3:$BT$4,2,TRUE))*CK5</f>
        <v>24291.148832136725</v>
      </c>
      <c r="CW5" s="379">
        <f>(HLOOKUP($AI5,'Inflation Adjustments'!$M$3:$BT$4,2,TRUE))*CL5</f>
        <v>26403.422643626873</v>
      </c>
      <c r="CX5" s="379">
        <f>(HLOOKUP($AI5,'Inflation Adjustments'!$M$3:$BT$4,2,TRUE))*CM5</f>
        <v>10561.369057450749</v>
      </c>
      <c r="CY5" s="379">
        <f>(HLOOKUP($AI5,'Inflation Adjustments'!$M$3:$BT$4,2,TRUE))*CN5</f>
        <v>10561.369057450749</v>
      </c>
      <c r="CZ5" s="379">
        <f>(HLOOKUP($AI5,'Inflation Adjustments'!$M$3:$BT$4,2,TRUE))*CO5</f>
        <v>10561.369057450749</v>
      </c>
      <c r="DA5" s="379">
        <f>(HLOOKUP($AI5,'Inflation Adjustments'!$M$3:$BT$4,2,TRUE))*CP5</f>
        <v>13729.779774685974</v>
      </c>
      <c r="DB5" s="379">
        <f>(HLOOKUP($AI5,'Inflation Adjustments'!$M$3:$BT$4,2,TRUE))*CQ5</f>
        <v>4224.5476229802998</v>
      </c>
      <c r="DC5" s="379">
        <f>SUM(CS5:DB5)</f>
        <v>213867.72341337762</v>
      </c>
      <c r="DD5" s="354">
        <f t="shared" ref="DD5:DD34" si="15">IF(($C$1-AI5-1)&lt;0,0,$C$1-AI5-1)</f>
        <v>42</v>
      </c>
      <c r="DE5" s="378">
        <f t="shared" ref="DE5:DE34" si="16">(HLOOKUP(T5,$CD$4:$CG$14,2,FALSE))</f>
        <v>60</v>
      </c>
      <c r="DF5" s="378">
        <f t="shared" ref="DF5:DF34" si="17">(HLOOKUP(U5,$CD$4:$CG$14,3,FALSE))</f>
        <v>60</v>
      </c>
      <c r="DG5" s="378">
        <f t="shared" ref="DG5:DG34" si="18">(HLOOKUP(V5,$CD$4:$CG$14,4,FALSE))</f>
        <v>20</v>
      </c>
      <c r="DH5" s="378">
        <f t="shared" ref="DH5:DH34" si="19">(HLOOKUP(W5,$CD$4:$CG$14,5,FALSE))</f>
        <v>30</v>
      </c>
      <c r="DI5" s="378">
        <f t="shared" ref="DI5:DI34" si="20">(HLOOKUP(X5,$CD$4:$CG$14,6,FALSE))</f>
        <v>40</v>
      </c>
      <c r="DJ5" s="378">
        <f t="shared" ref="DJ5:DJ34" si="21">(HLOOKUP(Y5,$CD$4:$CG$14,7,FALSE))</f>
        <v>20</v>
      </c>
      <c r="DK5" s="378">
        <f t="shared" ref="DK5:DL24" si="22">(HLOOKUP(Z5,$CD$4:$CG$14,8,FALSE))</f>
        <v>20</v>
      </c>
      <c r="DL5" s="378">
        <f t="shared" si="22"/>
        <v>20</v>
      </c>
      <c r="DM5" s="378">
        <f t="shared" ref="DM5:DM34" si="23">(HLOOKUP(AB5,$CD$4:$CG$14,9))</f>
        <v>30</v>
      </c>
      <c r="DN5" s="378">
        <f t="shared" ref="DN5:DN34" si="24">(HLOOKUP(AC5,$CD$4:$CG$14,10))</f>
        <v>30</v>
      </c>
      <c r="DO5" s="380">
        <f>CS5/DE5</f>
        <v>352.04563524835828</v>
      </c>
      <c r="DP5" s="380">
        <f t="shared" ref="DP5:DX20" si="25">CT5/DF5</f>
        <v>1408.1825409934331</v>
      </c>
      <c r="DQ5" s="380">
        <f t="shared" si="25"/>
        <v>396.05133965440314</v>
      </c>
      <c r="DR5" s="380">
        <f t="shared" si="25"/>
        <v>809.70496107122415</v>
      </c>
      <c r="DS5" s="380">
        <f t="shared" si="25"/>
        <v>660.08556609067182</v>
      </c>
      <c r="DT5" s="380">
        <f t="shared" si="25"/>
        <v>528.06845287253748</v>
      </c>
      <c r="DU5" s="380">
        <f t="shared" si="25"/>
        <v>528.06845287253748</v>
      </c>
      <c r="DV5" s="380">
        <f t="shared" si="25"/>
        <v>528.06845287253748</v>
      </c>
      <c r="DW5" s="380">
        <f t="shared" si="25"/>
        <v>457.65932582286581</v>
      </c>
      <c r="DX5" s="380">
        <f t="shared" si="25"/>
        <v>140.81825409934333</v>
      </c>
      <c r="DY5" s="380">
        <f>SUM(DO5:DX5)</f>
        <v>5808.7529815979124</v>
      </c>
      <c r="DZ5" s="378">
        <f>IF(DO5*$DD5&gt;CS5,CS5,DO5*$DD5)</f>
        <v>14785.916680431048</v>
      </c>
      <c r="EA5" s="378">
        <f t="shared" ref="EA5:EI20" si="26">IF(DP5*$DD5&gt;CT5,CT5,DP5*$DD5)</f>
        <v>59143.666721724192</v>
      </c>
      <c r="EB5" s="378">
        <f t="shared" si="26"/>
        <v>7921.0267930880627</v>
      </c>
      <c r="EC5" s="378">
        <f t="shared" si="26"/>
        <v>24291.148832136725</v>
      </c>
      <c r="ED5" s="378">
        <f t="shared" si="26"/>
        <v>26403.422643626873</v>
      </c>
      <c r="EE5" s="378">
        <f t="shared" si="26"/>
        <v>10561.369057450749</v>
      </c>
      <c r="EF5" s="378">
        <f t="shared" si="26"/>
        <v>10561.369057450749</v>
      </c>
      <c r="EG5" s="378">
        <f t="shared" si="26"/>
        <v>10561.369057450749</v>
      </c>
      <c r="EH5" s="378">
        <f t="shared" si="26"/>
        <v>13729.779774685974</v>
      </c>
      <c r="EI5" s="378">
        <f t="shared" si="26"/>
        <v>4224.5476229802998</v>
      </c>
      <c r="EJ5" s="354">
        <f>SUM(DZ5:EI5)</f>
        <v>182183.61624102536</v>
      </c>
      <c r="EK5" s="380">
        <f>IF(DO5&lt;(CS5-DZ5),DO5,(CS5-DZ5))</f>
        <v>352.04563524835828</v>
      </c>
      <c r="EL5" s="380">
        <f t="shared" ref="EL5:ET20" si="27">IF(DP5&lt;(CT5-EA5),DP5,(CT5-EA5))</f>
        <v>1408.1825409934331</v>
      </c>
      <c r="EM5" s="380">
        <f t="shared" si="27"/>
        <v>0</v>
      </c>
      <c r="EN5" s="380">
        <f t="shared" si="27"/>
        <v>0</v>
      </c>
      <c r="EO5" s="380">
        <f t="shared" si="27"/>
        <v>0</v>
      </c>
      <c r="EP5" s="380">
        <f t="shared" si="27"/>
        <v>0</v>
      </c>
      <c r="EQ5" s="380">
        <f t="shared" si="27"/>
        <v>0</v>
      </c>
      <c r="ER5" s="380">
        <f t="shared" si="27"/>
        <v>0</v>
      </c>
      <c r="ES5" s="380">
        <f t="shared" si="27"/>
        <v>0</v>
      </c>
      <c r="ET5" s="380">
        <f t="shared" si="27"/>
        <v>0</v>
      </c>
      <c r="EU5" s="379">
        <f>SUM(EK5:ET5)</f>
        <v>1760.2281762417915</v>
      </c>
      <c r="EV5" s="381">
        <f>AK5</f>
        <v>2005</v>
      </c>
      <c r="EW5" s="354">
        <f>(HLOOKUP($EV5,'Inflation Adjustments'!$M$3:$BT$4,2,TRUE))*CJ5</f>
        <v>19875.471928302668</v>
      </c>
      <c r="EX5" s="381">
        <f>DG5</f>
        <v>20</v>
      </c>
      <c r="EY5" s="381">
        <f>$C$1-1-EV5</f>
        <v>17</v>
      </c>
      <c r="EZ5" s="378">
        <f>EW5/EX5</f>
        <v>993.7735964151334</v>
      </c>
      <c r="FA5" s="378">
        <f>IF(EY5*EZ5&lt;EW5,EY5*EZ5,EW5)</f>
        <v>16894.151139057267</v>
      </c>
      <c r="FB5" s="378">
        <f>IF(EZ5&lt;(EW5-FA5),EZ5,(E56-FA5))</f>
        <v>993.7735964151334</v>
      </c>
      <c r="FE5" s="583" t="s">
        <v>1664</v>
      </c>
      <c r="FF5" s="583"/>
      <c r="FG5" s="583"/>
      <c r="FH5" s="583"/>
      <c r="FI5" s="583"/>
    </row>
    <row r="6" spans="1:165" ht="35" customHeight="1" thickTop="1" x14ac:dyDescent="0.3">
      <c r="A6" s="330"/>
      <c r="B6" s="318"/>
      <c r="C6" s="318"/>
      <c r="D6" s="318"/>
      <c r="E6" s="318"/>
      <c r="F6" s="318"/>
      <c r="G6" s="318"/>
      <c r="H6" s="318"/>
      <c r="I6" s="318"/>
      <c r="J6" s="318"/>
      <c r="K6" s="318"/>
      <c r="L6" s="318"/>
      <c r="M6" s="314"/>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7"/>
      <c r="AN6" s="318"/>
      <c r="AO6" s="513" t="e">
        <f t="shared" ref="AO6:AO8" si="28">EJ6+FA6</f>
        <v>#N/A</v>
      </c>
      <c r="AP6" s="513" t="e">
        <f t="shared" ref="AP6:AP8" si="29">AM6-AO6</f>
        <v>#N/A</v>
      </c>
      <c r="AQ6" s="513" t="e">
        <f t="shared" ref="AQ6:AQ8" si="30">EU6+FB6</f>
        <v>#N/A</v>
      </c>
      <c r="AR6" s="513" t="e">
        <f t="shared" ref="AR6:AR8" si="31">AP6-AQ6</f>
        <v>#N/A</v>
      </c>
      <c r="AS6" s="514" t="e">
        <f>HLOOKUP($C$1,'Inflation Adjustments'!$BI$3:$BT$4,2)*CR6</f>
        <v>#N/A</v>
      </c>
      <c r="AT6" s="513">
        <f>IF(BU6="In Service",'Maintenace Cost Assumptions'!$B$3*AS6,0)</f>
        <v>0</v>
      </c>
      <c r="AU6" s="318"/>
      <c r="AV6" s="318"/>
      <c r="AW6" s="318"/>
      <c r="AX6" s="318"/>
      <c r="AY6" s="318"/>
      <c r="AZ6" s="318"/>
      <c r="BA6" s="318"/>
      <c r="BB6" s="318"/>
      <c r="BC6" s="318"/>
      <c r="BD6" s="318"/>
      <c r="BE6" s="318"/>
      <c r="BF6" s="318"/>
      <c r="BG6" s="409">
        <f>(AU6*'Condition rating weights'!H$8+AV6*'Condition rating weights'!I$8+AW6*'Condition rating weights'!J$8+AX6*'Condition rating weights'!K$8+AY6*'Condition rating weights'!L$8+AZ6*'Condition rating weights'!M$8+BA6*'Condition rating weights'!N$8+BB6*'Condition rating weights'!O$8+BC6*'Condition rating weights'!P$8+BD6*'Condition rating weights'!Q$8+BE6*'Condition rating weights'!R$8+BF6*'Condition rating weights'!S$8)/100</f>
        <v>0</v>
      </c>
      <c r="BH6" s="333"/>
      <c r="BI6" s="333"/>
      <c r="BJ6" s="333"/>
      <c r="BK6" s="333"/>
      <c r="BL6" s="333"/>
      <c r="BM6" s="333"/>
      <c r="BN6" s="333"/>
      <c r="BO6" s="333"/>
      <c r="BP6" s="333"/>
      <c r="BQ6" s="333"/>
      <c r="BR6" s="333"/>
      <c r="BS6" s="333"/>
      <c r="BT6" s="334"/>
      <c r="BU6" s="335"/>
      <c r="BV6" s="255"/>
      <c r="BY6" s="376" t="str">
        <f>'GRC and TUL Assumptions'!A6</f>
        <v>Structure</v>
      </c>
      <c r="BZ6" s="373">
        <f>'GRC and TUL Assumptions'!C6</f>
        <v>500</v>
      </c>
      <c r="CA6" s="373">
        <f>'GRC and TUL Assumptions'!D6</f>
        <v>800</v>
      </c>
      <c r="CB6" s="373">
        <f>'GRC and TUL Assumptions'!E6</f>
        <v>1500</v>
      </c>
      <c r="CC6" s="373">
        <v>0</v>
      </c>
      <c r="CD6" s="373">
        <f>'GRC and TUL Assumptions'!F6</f>
        <v>40</v>
      </c>
      <c r="CE6" s="373">
        <f>'GRC and TUL Assumptions'!G6</f>
        <v>60</v>
      </c>
      <c r="CF6" s="373">
        <f>'GRC and TUL Assumptions'!H6</f>
        <v>60</v>
      </c>
      <c r="CG6" s="373">
        <f t="shared" ref="CG6:CG14" si="32">CD6</f>
        <v>40</v>
      </c>
      <c r="CH6" s="378" t="e">
        <f t="shared" si="5"/>
        <v>#N/A</v>
      </c>
      <c r="CI6" s="378" t="e">
        <f t="shared" si="6"/>
        <v>#N/A</v>
      </c>
      <c r="CJ6" s="378" t="e">
        <f t="shared" si="7"/>
        <v>#N/A</v>
      </c>
      <c r="CK6" s="378" t="e">
        <f t="shared" si="8"/>
        <v>#N/A</v>
      </c>
      <c r="CL6" s="378" t="e">
        <f t="shared" si="9"/>
        <v>#N/A</v>
      </c>
      <c r="CM6" s="378" t="e">
        <f t="shared" si="10"/>
        <v>#N/A</v>
      </c>
      <c r="CN6" s="378" t="e">
        <f t="shared" si="11"/>
        <v>#N/A</v>
      </c>
      <c r="CO6" s="378" t="e">
        <f t="shared" si="12"/>
        <v>#N/A</v>
      </c>
      <c r="CP6" s="378" t="e">
        <f t="shared" si="13"/>
        <v>#N/A</v>
      </c>
      <c r="CQ6" s="378" t="e">
        <f t="shared" si="14"/>
        <v>#N/A</v>
      </c>
      <c r="CR6" s="354" t="e">
        <f t="shared" ref="CR6:CR22" si="33">SUM(CH6:CQ6)</f>
        <v>#N/A</v>
      </c>
      <c r="CS6" s="379" t="e">
        <f>(HLOOKUP($AI6,'Inflation Adjustments'!$M$3:$BT$4,2,TRUE))*CH6</f>
        <v>#N/A</v>
      </c>
      <c r="CT6" s="379" t="e">
        <f>(HLOOKUP($AI6,'Inflation Adjustments'!$M$3:$BT$4,2,TRUE))*CI6</f>
        <v>#N/A</v>
      </c>
      <c r="CU6" s="379" t="e">
        <f>(HLOOKUP($AI6,'Inflation Adjustments'!$M$3:$BT$4,2,TRUE))*CJ6</f>
        <v>#N/A</v>
      </c>
      <c r="CV6" s="379" t="e">
        <f>(HLOOKUP($AI6,'Inflation Adjustments'!$M$3:$BT$4,2,TRUE))*CK6</f>
        <v>#N/A</v>
      </c>
      <c r="CW6" s="379" t="e">
        <f>(HLOOKUP($AI6,'Inflation Adjustments'!$M$3:$BT$4,2,TRUE))*CL6</f>
        <v>#N/A</v>
      </c>
      <c r="CX6" s="379" t="e">
        <f>(HLOOKUP($AI6,'Inflation Adjustments'!$M$3:$BT$4,2,TRUE))*CM6</f>
        <v>#N/A</v>
      </c>
      <c r="CY6" s="379" t="e">
        <f>(HLOOKUP($AI6,'Inflation Adjustments'!$M$3:$BT$4,2,TRUE))*CN6</f>
        <v>#N/A</v>
      </c>
      <c r="CZ6" s="379" t="e">
        <f>(HLOOKUP($AI6,'Inflation Adjustments'!$M$3:$BT$4,2,TRUE))*CO6</f>
        <v>#N/A</v>
      </c>
      <c r="DA6" s="379" t="e">
        <f>(HLOOKUP($AI6,'Inflation Adjustments'!$M$3:$BT$4,2,TRUE))*CP6</f>
        <v>#N/A</v>
      </c>
      <c r="DB6" s="379" t="e">
        <f>(HLOOKUP($AI6,'Inflation Adjustments'!$M$3:$BT$4,2,TRUE))*CQ6</f>
        <v>#N/A</v>
      </c>
      <c r="DC6" s="379" t="e">
        <f>SUM(CS6:DB6)</f>
        <v>#N/A</v>
      </c>
      <c r="DD6" s="354">
        <f t="shared" si="15"/>
        <v>2022</v>
      </c>
      <c r="DE6" s="378" t="e">
        <f t="shared" si="16"/>
        <v>#N/A</v>
      </c>
      <c r="DF6" s="378" t="e">
        <f t="shared" si="17"/>
        <v>#N/A</v>
      </c>
      <c r="DG6" s="378" t="e">
        <f t="shared" si="18"/>
        <v>#N/A</v>
      </c>
      <c r="DH6" s="378" t="e">
        <f t="shared" si="19"/>
        <v>#N/A</v>
      </c>
      <c r="DI6" s="378" t="e">
        <f t="shared" si="20"/>
        <v>#N/A</v>
      </c>
      <c r="DJ6" s="378" t="e">
        <f t="shared" si="21"/>
        <v>#N/A</v>
      </c>
      <c r="DK6" s="378" t="e">
        <f t="shared" si="22"/>
        <v>#N/A</v>
      </c>
      <c r="DL6" s="378" t="e">
        <f t="shared" si="22"/>
        <v>#N/A</v>
      </c>
      <c r="DM6" s="378" t="e">
        <f t="shared" si="23"/>
        <v>#N/A</v>
      </c>
      <c r="DN6" s="378" t="e">
        <f t="shared" si="24"/>
        <v>#N/A</v>
      </c>
      <c r="DO6" s="380" t="e">
        <f t="shared" ref="DO6:DX22" si="34">CS6/DE6</f>
        <v>#N/A</v>
      </c>
      <c r="DP6" s="380" t="e">
        <f t="shared" si="25"/>
        <v>#N/A</v>
      </c>
      <c r="DQ6" s="380" t="e">
        <f t="shared" si="25"/>
        <v>#N/A</v>
      </c>
      <c r="DR6" s="380" t="e">
        <f t="shared" si="25"/>
        <v>#N/A</v>
      </c>
      <c r="DS6" s="380" t="e">
        <f t="shared" si="25"/>
        <v>#N/A</v>
      </c>
      <c r="DT6" s="380" t="e">
        <f t="shared" si="25"/>
        <v>#N/A</v>
      </c>
      <c r="DU6" s="380" t="e">
        <f t="shared" si="25"/>
        <v>#N/A</v>
      </c>
      <c r="DV6" s="380" t="e">
        <f t="shared" si="25"/>
        <v>#N/A</v>
      </c>
      <c r="DW6" s="380" t="e">
        <f t="shared" si="25"/>
        <v>#N/A</v>
      </c>
      <c r="DX6" s="380" t="e">
        <f t="shared" si="25"/>
        <v>#N/A</v>
      </c>
      <c r="DY6" s="380" t="e">
        <f t="shared" ref="DY6:DY22" si="35">SUM(DO6:DX6)</f>
        <v>#N/A</v>
      </c>
      <c r="DZ6" s="378" t="e">
        <f t="shared" ref="DZ6:EI22" si="36">IF(DO6*$DD6&gt;CS6,CS6,DO6*$DD6)</f>
        <v>#N/A</v>
      </c>
      <c r="EA6" s="378" t="e">
        <f t="shared" si="26"/>
        <v>#N/A</v>
      </c>
      <c r="EB6" s="378" t="e">
        <f t="shared" si="26"/>
        <v>#N/A</v>
      </c>
      <c r="EC6" s="378" t="e">
        <f t="shared" si="26"/>
        <v>#N/A</v>
      </c>
      <c r="ED6" s="378" t="e">
        <f t="shared" si="26"/>
        <v>#N/A</v>
      </c>
      <c r="EE6" s="378" t="e">
        <f t="shared" si="26"/>
        <v>#N/A</v>
      </c>
      <c r="EF6" s="378" t="e">
        <f t="shared" si="26"/>
        <v>#N/A</v>
      </c>
      <c r="EG6" s="378" t="e">
        <f t="shared" si="26"/>
        <v>#N/A</v>
      </c>
      <c r="EH6" s="378" t="e">
        <f t="shared" si="26"/>
        <v>#N/A</v>
      </c>
      <c r="EI6" s="378" t="e">
        <f t="shared" si="26"/>
        <v>#N/A</v>
      </c>
      <c r="EJ6" s="354" t="e">
        <f t="shared" ref="EJ6:EJ22" si="37">SUM(DZ6:EI6)</f>
        <v>#N/A</v>
      </c>
      <c r="EK6" s="380" t="e">
        <f t="shared" ref="EK6:ET22" si="38">IF(DO6&lt;(CS6-DZ6),DO6,(CS6-DZ6))</f>
        <v>#N/A</v>
      </c>
      <c r="EL6" s="380" t="e">
        <f t="shared" si="27"/>
        <v>#N/A</v>
      </c>
      <c r="EM6" s="380" t="e">
        <f t="shared" si="27"/>
        <v>#N/A</v>
      </c>
      <c r="EN6" s="380" t="e">
        <f t="shared" si="27"/>
        <v>#N/A</v>
      </c>
      <c r="EO6" s="380" t="e">
        <f t="shared" si="27"/>
        <v>#N/A</v>
      </c>
      <c r="EP6" s="380" t="e">
        <f t="shared" si="27"/>
        <v>#N/A</v>
      </c>
      <c r="EQ6" s="380" t="e">
        <f t="shared" si="27"/>
        <v>#N/A</v>
      </c>
      <c r="ER6" s="380" t="e">
        <f t="shared" si="27"/>
        <v>#N/A</v>
      </c>
      <c r="ES6" s="380" t="e">
        <f t="shared" si="27"/>
        <v>#N/A</v>
      </c>
      <c r="ET6" s="380" t="e">
        <f t="shared" si="27"/>
        <v>#N/A</v>
      </c>
      <c r="EU6" s="379" t="e">
        <f t="shared" ref="EU6:EU22" si="39">SUM(EK6:ET6)</f>
        <v>#N/A</v>
      </c>
      <c r="EV6" s="381"/>
      <c r="EW6" s="382"/>
      <c r="EX6" s="382"/>
      <c r="EY6" s="382"/>
      <c r="EZ6" s="382"/>
      <c r="FA6" s="382"/>
      <c r="FB6" s="382"/>
      <c r="FE6" s="633"/>
      <c r="FF6" s="633"/>
      <c r="FG6" s="633"/>
      <c r="FH6" s="633"/>
      <c r="FI6" s="633"/>
    </row>
    <row r="7" spans="1:165" ht="35" customHeight="1" x14ac:dyDescent="0.3">
      <c r="A7" s="330"/>
      <c r="B7" s="318"/>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7"/>
      <c r="AN7" s="318"/>
      <c r="AO7" s="513" t="e">
        <f t="shared" si="28"/>
        <v>#N/A</v>
      </c>
      <c r="AP7" s="513" t="e">
        <f t="shared" si="29"/>
        <v>#N/A</v>
      </c>
      <c r="AQ7" s="513" t="e">
        <f t="shared" si="30"/>
        <v>#N/A</v>
      </c>
      <c r="AR7" s="513" t="e">
        <f t="shared" si="31"/>
        <v>#N/A</v>
      </c>
      <c r="AS7" s="514" t="e">
        <f>HLOOKUP($C$1,'Inflation Adjustments'!$BI$3:$BT$4,2)*CR7</f>
        <v>#N/A</v>
      </c>
      <c r="AT7" s="513">
        <f>IF(BU7="In Service",'Maintenace Cost Assumptions'!$B$3*AS7,0)</f>
        <v>0</v>
      </c>
      <c r="AU7" s="318"/>
      <c r="AV7" s="318"/>
      <c r="AW7" s="318"/>
      <c r="AX7" s="318"/>
      <c r="AY7" s="318"/>
      <c r="AZ7" s="318"/>
      <c r="BA7" s="318"/>
      <c r="BB7" s="318"/>
      <c r="BC7" s="318"/>
      <c r="BD7" s="318"/>
      <c r="BE7" s="318"/>
      <c r="BF7" s="318"/>
      <c r="BG7" s="409">
        <f>(AU7*'Condition rating weights'!H$8+AV7*'Condition rating weights'!I$8+AW7*'Condition rating weights'!J$8+AX7*'Condition rating weights'!K$8+AY7*'Condition rating weights'!L$8+AZ7*'Condition rating weights'!M$8+BA7*'Condition rating weights'!N$8+BB7*'Condition rating weights'!O$8+BC7*'Condition rating weights'!P$8+BD7*'Condition rating weights'!Q$8+BE7*'Condition rating weights'!R$8+BF7*'Condition rating weights'!S$8)/100</f>
        <v>0</v>
      </c>
      <c r="BH7" s="333"/>
      <c r="BI7" s="333"/>
      <c r="BJ7" s="333"/>
      <c r="BK7" s="333"/>
      <c r="BL7" s="333"/>
      <c r="BM7" s="333"/>
      <c r="BN7" s="333"/>
      <c r="BO7" s="333"/>
      <c r="BP7" s="333"/>
      <c r="BQ7" s="333"/>
      <c r="BR7" s="333"/>
      <c r="BS7" s="333"/>
      <c r="BT7" s="334"/>
      <c r="BU7" s="335"/>
      <c r="BV7" s="255"/>
      <c r="BY7" s="376" t="str">
        <f>'GRC and TUL Assumptions'!A7</f>
        <v>Roofing</v>
      </c>
      <c r="BZ7" s="373">
        <f>'GRC and TUL Assumptions'!C7</f>
        <v>100</v>
      </c>
      <c r="CA7" s="373">
        <f>'GRC and TUL Assumptions'!D7</f>
        <v>150</v>
      </c>
      <c r="CB7" s="373">
        <f>'GRC and TUL Assumptions'!E7</f>
        <v>300</v>
      </c>
      <c r="CC7" s="373">
        <v>0</v>
      </c>
      <c r="CD7" s="373">
        <f>'GRC and TUL Assumptions'!F7</f>
        <v>10</v>
      </c>
      <c r="CE7" s="373">
        <f>'GRC and TUL Assumptions'!G7</f>
        <v>20</v>
      </c>
      <c r="CF7" s="373">
        <f>'GRC and TUL Assumptions'!H7</f>
        <v>30</v>
      </c>
      <c r="CG7" s="373">
        <f t="shared" si="32"/>
        <v>10</v>
      </c>
      <c r="CH7" s="378" t="e">
        <f t="shared" si="5"/>
        <v>#N/A</v>
      </c>
      <c r="CI7" s="378" t="e">
        <f t="shared" si="6"/>
        <v>#N/A</v>
      </c>
      <c r="CJ7" s="378" t="e">
        <f t="shared" si="7"/>
        <v>#N/A</v>
      </c>
      <c r="CK7" s="378" t="e">
        <f t="shared" si="8"/>
        <v>#N/A</v>
      </c>
      <c r="CL7" s="378" t="e">
        <f t="shared" si="9"/>
        <v>#N/A</v>
      </c>
      <c r="CM7" s="378" t="e">
        <f t="shared" si="10"/>
        <v>#N/A</v>
      </c>
      <c r="CN7" s="378" t="e">
        <f t="shared" si="11"/>
        <v>#N/A</v>
      </c>
      <c r="CO7" s="378" t="e">
        <f t="shared" si="12"/>
        <v>#N/A</v>
      </c>
      <c r="CP7" s="378" t="e">
        <f t="shared" si="13"/>
        <v>#N/A</v>
      </c>
      <c r="CQ7" s="378" t="e">
        <f t="shared" si="14"/>
        <v>#N/A</v>
      </c>
      <c r="CR7" s="354" t="e">
        <f t="shared" si="33"/>
        <v>#N/A</v>
      </c>
      <c r="CS7" s="379" t="e">
        <f>(HLOOKUP($AI7,'Inflation Adjustments'!$B$3:$BT$4,2,TRUE))*CH7</f>
        <v>#N/A</v>
      </c>
      <c r="CT7" s="379" t="e">
        <f>(HLOOKUP($AI7,'Inflation Adjustments'!$B$3:$BT$4,2,TRUE))*CI7</f>
        <v>#N/A</v>
      </c>
      <c r="CU7" s="379" t="e">
        <f>(HLOOKUP($AI7,'Inflation Adjustments'!$B$3:$BT$4,2,TRUE))*CJ7</f>
        <v>#N/A</v>
      </c>
      <c r="CV7" s="379" t="e">
        <f>(HLOOKUP($AI7,'Inflation Adjustments'!$B$3:$BT$4,2,TRUE))*CK7</f>
        <v>#N/A</v>
      </c>
      <c r="CW7" s="379" t="e">
        <f>(HLOOKUP($AI7,'Inflation Adjustments'!$B$3:$BT$4,2,TRUE))*CL7</f>
        <v>#N/A</v>
      </c>
      <c r="CX7" s="379" t="e">
        <f>(HLOOKUP($AI7,'Inflation Adjustments'!$B$3:$BT$4,2,TRUE))*CM7</f>
        <v>#N/A</v>
      </c>
      <c r="CY7" s="379" t="e">
        <f>(HLOOKUP($AI7,'Inflation Adjustments'!$B$3:$BT$4,2,TRUE))*CN7</f>
        <v>#N/A</v>
      </c>
      <c r="CZ7" s="379" t="e">
        <f>(HLOOKUP($AI7,'Inflation Adjustments'!$B$3:$BT$4,2,TRUE))*CO7</f>
        <v>#N/A</v>
      </c>
      <c r="DA7" s="379" t="e">
        <f>(HLOOKUP($AI7,'Inflation Adjustments'!$B$3:$BT$4,2,TRUE))*CP7</f>
        <v>#N/A</v>
      </c>
      <c r="DB7" s="379" t="e">
        <f>(HLOOKUP($AI7,'Inflation Adjustments'!$B$3:$BT$4,2,TRUE))*CQ7</f>
        <v>#N/A</v>
      </c>
      <c r="DC7" s="379" t="e">
        <f>SUM(CS7:DB7)</f>
        <v>#N/A</v>
      </c>
      <c r="DD7" s="354">
        <f t="shared" si="15"/>
        <v>2022</v>
      </c>
      <c r="DE7" s="378" t="e">
        <f t="shared" si="16"/>
        <v>#N/A</v>
      </c>
      <c r="DF7" s="378" t="e">
        <f t="shared" si="17"/>
        <v>#N/A</v>
      </c>
      <c r="DG7" s="378" t="e">
        <f t="shared" si="18"/>
        <v>#N/A</v>
      </c>
      <c r="DH7" s="378" t="e">
        <f t="shared" si="19"/>
        <v>#N/A</v>
      </c>
      <c r="DI7" s="378" t="e">
        <f t="shared" si="20"/>
        <v>#N/A</v>
      </c>
      <c r="DJ7" s="378" t="e">
        <f t="shared" si="21"/>
        <v>#N/A</v>
      </c>
      <c r="DK7" s="378" t="e">
        <f t="shared" si="22"/>
        <v>#N/A</v>
      </c>
      <c r="DL7" s="378" t="e">
        <f t="shared" si="22"/>
        <v>#N/A</v>
      </c>
      <c r="DM7" s="378" t="e">
        <f t="shared" si="23"/>
        <v>#N/A</v>
      </c>
      <c r="DN7" s="378" t="e">
        <f t="shared" si="24"/>
        <v>#N/A</v>
      </c>
      <c r="DO7" s="380" t="e">
        <f t="shared" si="34"/>
        <v>#N/A</v>
      </c>
      <c r="DP7" s="380" t="e">
        <f t="shared" si="25"/>
        <v>#N/A</v>
      </c>
      <c r="DQ7" s="380" t="e">
        <f t="shared" si="25"/>
        <v>#N/A</v>
      </c>
      <c r="DR7" s="380" t="e">
        <f t="shared" si="25"/>
        <v>#N/A</v>
      </c>
      <c r="DS7" s="380" t="e">
        <f t="shared" si="25"/>
        <v>#N/A</v>
      </c>
      <c r="DT7" s="380" t="e">
        <f t="shared" si="25"/>
        <v>#N/A</v>
      </c>
      <c r="DU7" s="380" t="e">
        <f t="shared" si="25"/>
        <v>#N/A</v>
      </c>
      <c r="DV7" s="380" t="e">
        <f t="shared" si="25"/>
        <v>#N/A</v>
      </c>
      <c r="DW7" s="380" t="e">
        <f t="shared" si="25"/>
        <v>#N/A</v>
      </c>
      <c r="DX7" s="380" t="e">
        <f t="shared" si="25"/>
        <v>#N/A</v>
      </c>
      <c r="DY7" s="380" t="e">
        <f t="shared" si="35"/>
        <v>#N/A</v>
      </c>
      <c r="DZ7" s="378" t="e">
        <f t="shared" si="36"/>
        <v>#N/A</v>
      </c>
      <c r="EA7" s="378" t="e">
        <f t="shared" si="26"/>
        <v>#N/A</v>
      </c>
      <c r="EB7" s="378" t="e">
        <f t="shared" si="26"/>
        <v>#N/A</v>
      </c>
      <c r="EC7" s="378" t="e">
        <f t="shared" si="26"/>
        <v>#N/A</v>
      </c>
      <c r="ED7" s="378" t="e">
        <f t="shared" si="26"/>
        <v>#N/A</v>
      </c>
      <c r="EE7" s="378" t="e">
        <f t="shared" si="26"/>
        <v>#N/A</v>
      </c>
      <c r="EF7" s="378" t="e">
        <f t="shared" si="26"/>
        <v>#N/A</v>
      </c>
      <c r="EG7" s="378" t="e">
        <f t="shared" si="26"/>
        <v>#N/A</v>
      </c>
      <c r="EH7" s="378" t="e">
        <f t="shared" si="26"/>
        <v>#N/A</v>
      </c>
      <c r="EI7" s="378" t="e">
        <f t="shared" si="26"/>
        <v>#N/A</v>
      </c>
      <c r="EJ7" s="354" t="e">
        <f t="shared" si="37"/>
        <v>#N/A</v>
      </c>
      <c r="EK7" s="380" t="e">
        <f t="shared" si="38"/>
        <v>#N/A</v>
      </c>
      <c r="EL7" s="380" t="e">
        <f t="shared" si="27"/>
        <v>#N/A</v>
      </c>
      <c r="EM7" s="380" t="e">
        <f t="shared" si="27"/>
        <v>#N/A</v>
      </c>
      <c r="EN7" s="380" t="e">
        <f t="shared" si="27"/>
        <v>#N/A</v>
      </c>
      <c r="EO7" s="380" t="e">
        <f t="shared" si="27"/>
        <v>#N/A</v>
      </c>
      <c r="EP7" s="380" t="e">
        <f t="shared" si="27"/>
        <v>#N/A</v>
      </c>
      <c r="EQ7" s="380" t="e">
        <f t="shared" si="27"/>
        <v>#N/A</v>
      </c>
      <c r="ER7" s="380" t="e">
        <f t="shared" si="27"/>
        <v>#N/A</v>
      </c>
      <c r="ES7" s="380" t="e">
        <f t="shared" si="27"/>
        <v>#N/A</v>
      </c>
      <c r="ET7" s="380" t="e">
        <f t="shared" si="27"/>
        <v>#N/A</v>
      </c>
      <c r="EU7" s="379" t="e">
        <f t="shared" si="39"/>
        <v>#N/A</v>
      </c>
      <c r="EV7" s="381">
        <f>AK7</f>
        <v>0</v>
      </c>
      <c r="EW7" s="354" t="e">
        <f>(HLOOKUP($EV7,'Inflation Adjustments'!$M$3:$BT$4,2,TRUE))*(CJ7+CM7+CL7)</f>
        <v>#N/A</v>
      </c>
      <c r="EX7" s="378" t="e">
        <f>AVERAGE(DG6, DI6, DJ6)</f>
        <v>#N/A</v>
      </c>
      <c r="EY7" s="381">
        <f>$C$1-1-EV7</f>
        <v>2022</v>
      </c>
      <c r="EZ7" s="378" t="e">
        <f>EW7/EX7</f>
        <v>#N/A</v>
      </c>
      <c r="FA7" s="378" t="e">
        <f>IF(EY7*EZ7&lt;EW7,EY7*EZ7,EW7)</f>
        <v>#N/A</v>
      </c>
      <c r="FB7" s="378" t="e">
        <f>IF(EZ7&lt;(EW7-FA7),EZ7,(E58-FA7))</f>
        <v>#N/A</v>
      </c>
    </row>
    <row r="8" spans="1:165" ht="35" customHeight="1" x14ac:dyDescent="0.3">
      <c r="A8" s="330"/>
      <c r="B8" s="318"/>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317"/>
      <c r="AN8" s="318"/>
      <c r="AO8" s="513" t="e">
        <f t="shared" si="28"/>
        <v>#N/A</v>
      </c>
      <c r="AP8" s="513" t="e">
        <f t="shared" si="29"/>
        <v>#N/A</v>
      </c>
      <c r="AQ8" s="513" t="e">
        <f t="shared" si="30"/>
        <v>#N/A</v>
      </c>
      <c r="AR8" s="513" t="e">
        <f t="shared" si="31"/>
        <v>#N/A</v>
      </c>
      <c r="AS8" s="514" t="e">
        <f>HLOOKUP($C$1,'Inflation Adjustments'!$BI$3:$BT$4,2)*CR8</f>
        <v>#N/A</v>
      </c>
      <c r="AT8" s="513">
        <f>IF(BU8="In Service",'Maintenace Cost Assumptions'!$B$3*AS8,0)</f>
        <v>0</v>
      </c>
      <c r="AU8" s="318"/>
      <c r="AV8" s="318"/>
      <c r="AW8" s="318"/>
      <c r="AX8" s="318"/>
      <c r="AY8" s="318"/>
      <c r="AZ8" s="318"/>
      <c r="BA8" s="318"/>
      <c r="BB8" s="318"/>
      <c r="BC8" s="318"/>
      <c r="BD8" s="318"/>
      <c r="BE8" s="318"/>
      <c r="BF8" s="318"/>
      <c r="BG8" s="409">
        <f>(AU8*'Condition rating weights'!H$8+AV8*'Condition rating weights'!I$8+AW8*'Condition rating weights'!J$8+AX8*'Condition rating weights'!K$8+AY8*'Condition rating weights'!L$8+AZ8*'Condition rating weights'!M$8+BA8*'Condition rating weights'!N$8+BB8*'Condition rating weights'!O$8+BC8*'Condition rating weights'!P$8+BD8*'Condition rating weights'!Q$8+BE8*'Condition rating weights'!R$8+BF8*'Condition rating weights'!S$8)/100</f>
        <v>0</v>
      </c>
      <c r="BH8" s="333"/>
      <c r="BI8" s="333"/>
      <c r="BJ8" s="333"/>
      <c r="BK8" s="333"/>
      <c r="BL8" s="333"/>
      <c r="BM8" s="333"/>
      <c r="BN8" s="333"/>
      <c r="BO8" s="333"/>
      <c r="BP8" s="333"/>
      <c r="BQ8" s="333"/>
      <c r="BR8" s="333"/>
      <c r="BS8" s="333"/>
      <c r="BT8" s="334"/>
      <c r="BU8" s="335"/>
      <c r="BV8" s="255"/>
      <c r="BY8" s="376" t="str">
        <f>'GRC and TUL Assumptions'!A8</f>
        <v>Exterior Wall Cladding</v>
      </c>
      <c r="BZ8" s="373">
        <f>'GRC and TUL Assumptions'!C8</f>
        <v>150</v>
      </c>
      <c r="CA8" s="373">
        <f>'GRC and TUL Assumptions'!D8</f>
        <v>230</v>
      </c>
      <c r="CB8" s="373">
        <f>'GRC and TUL Assumptions'!E8</f>
        <v>300</v>
      </c>
      <c r="CC8" s="373">
        <v>0</v>
      </c>
      <c r="CD8" s="373">
        <f>'GRC and TUL Assumptions'!F8</f>
        <v>20</v>
      </c>
      <c r="CE8" s="373">
        <f>'GRC and TUL Assumptions'!G8</f>
        <v>30</v>
      </c>
      <c r="CF8" s="373">
        <f>'GRC and TUL Assumptions'!H8</f>
        <v>40</v>
      </c>
      <c r="CG8" s="373">
        <f t="shared" si="32"/>
        <v>20</v>
      </c>
      <c r="CH8" s="378" t="e">
        <f t="shared" si="5"/>
        <v>#N/A</v>
      </c>
      <c r="CI8" s="378" t="e">
        <f t="shared" si="6"/>
        <v>#N/A</v>
      </c>
      <c r="CJ8" s="378" t="e">
        <f t="shared" si="7"/>
        <v>#N/A</v>
      </c>
      <c r="CK8" s="378" t="e">
        <f t="shared" si="8"/>
        <v>#N/A</v>
      </c>
      <c r="CL8" s="378" t="e">
        <f t="shared" si="9"/>
        <v>#N/A</v>
      </c>
      <c r="CM8" s="378" t="e">
        <f t="shared" si="10"/>
        <v>#N/A</v>
      </c>
      <c r="CN8" s="378" t="e">
        <f t="shared" si="11"/>
        <v>#N/A</v>
      </c>
      <c r="CO8" s="378" t="e">
        <f t="shared" si="12"/>
        <v>#N/A</v>
      </c>
      <c r="CP8" s="378" t="e">
        <f t="shared" si="13"/>
        <v>#N/A</v>
      </c>
      <c r="CQ8" s="378" t="e">
        <f t="shared" si="14"/>
        <v>#N/A</v>
      </c>
      <c r="CR8" s="354" t="e">
        <f t="shared" si="33"/>
        <v>#N/A</v>
      </c>
      <c r="CS8" s="379" t="e">
        <f>(HLOOKUP($AI8,'Inflation Adjustments'!$B$3:$BT$4,2,TRUE))*CH8</f>
        <v>#N/A</v>
      </c>
      <c r="CT8" s="379" t="e">
        <f>(HLOOKUP($AI8,'Inflation Adjustments'!$B$3:$BT$4,2,TRUE))*CI8</f>
        <v>#N/A</v>
      </c>
      <c r="CU8" s="379" t="e">
        <f>(HLOOKUP($AI8,'Inflation Adjustments'!$B$3:$BT$4,2,TRUE))*CJ8</f>
        <v>#N/A</v>
      </c>
      <c r="CV8" s="379" t="e">
        <f>(HLOOKUP($AI8,'Inflation Adjustments'!$B$3:$BT$4,2,TRUE))*CK8</f>
        <v>#N/A</v>
      </c>
      <c r="CW8" s="379" t="e">
        <f>(HLOOKUP($AI8,'Inflation Adjustments'!$B$3:$BT$4,2,TRUE))*CL8</f>
        <v>#N/A</v>
      </c>
      <c r="CX8" s="379" t="e">
        <f>(HLOOKUP($AI8,'Inflation Adjustments'!$B$3:$BT$4,2,TRUE))*CM8</f>
        <v>#N/A</v>
      </c>
      <c r="CY8" s="379" t="e">
        <f>(HLOOKUP($AI8,'Inflation Adjustments'!$B$3:$BT$4,2,TRUE))*CN8</f>
        <v>#N/A</v>
      </c>
      <c r="CZ8" s="379" t="e">
        <f>(HLOOKUP($AI8,'Inflation Adjustments'!$B$3:$BT$4,2,TRUE))*CO8</f>
        <v>#N/A</v>
      </c>
      <c r="DA8" s="379" t="e">
        <f>(HLOOKUP($AI8,'Inflation Adjustments'!$B$3:$BT$4,2,TRUE))*CP8</f>
        <v>#N/A</v>
      </c>
      <c r="DB8" s="379" t="e">
        <f>(HLOOKUP($AI8,'Inflation Adjustments'!$B$3:$BT$4,2,TRUE))*CQ8</f>
        <v>#N/A</v>
      </c>
      <c r="DC8" s="379" t="e">
        <f t="shared" ref="DC8:DC34" si="40">SUM(CS8:DB8)</f>
        <v>#N/A</v>
      </c>
      <c r="DD8" s="354">
        <f t="shared" si="15"/>
        <v>2022</v>
      </c>
      <c r="DE8" s="378" t="e">
        <f t="shared" si="16"/>
        <v>#N/A</v>
      </c>
      <c r="DF8" s="378" t="e">
        <f t="shared" si="17"/>
        <v>#N/A</v>
      </c>
      <c r="DG8" s="378" t="e">
        <f t="shared" si="18"/>
        <v>#N/A</v>
      </c>
      <c r="DH8" s="378" t="e">
        <f t="shared" si="19"/>
        <v>#N/A</v>
      </c>
      <c r="DI8" s="378" t="e">
        <f t="shared" si="20"/>
        <v>#N/A</v>
      </c>
      <c r="DJ8" s="378" t="e">
        <f t="shared" si="21"/>
        <v>#N/A</v>
      </c>
      <c r="DK8" s="378" t="e">
        <f t="shared" si="22"/>
        <v>#N/A</v>
      </c>
      <c r="DL8" s="378" t="e">
        <f t="shared" si="22"/>
        <v>#N/A</v>
      </c>
      <c r="DM8" s="378" t="e">
        <f t="shared" si="23"/>
        <v>#N/A</v>
      </c>
      <c r="DN8" s="378" t="e">
        <f t="shared" si="24"/>
        <v>#N/A</v>
      </c>
      <c r="DO8" s="380" t="e">
        <f t="shared" si="34"/>
        <v>#N/A</v>
      </c>
      <c r="DP8" s="380" t="e">
        <f t="shared" si="25"/>
        <v>#N/A</v>
      </c>
      <c r="DQ8" s="380" t="e">
        <f t="shared" si="25"/>
        <v>#N/A</v>
      </c>
      <c r="DR8" s="380" t="e">
        <f t="shared" si="25"/>
        <v>#N/A</v>
      </c>
      <c r="DS8" s="380" t="e">
        <f t="shared" si="25"/>
        <v>#N/A</v>
      </c>
      <c r="DT8" s="380" t="e">
        <f t="shared" si="25"/>
        <v>#N/A</v>
      </c>
      <c r="DU8" s="380" t="e">
        <f t="shared" si="25"/>
        <v>#N/A</v>
      </c>
      <c r="DV8" s="380" t="e">
        <f t="shared" si="25"/>
        <v>#N/A</v>
      </c>
      <c r="DW8" s="380" t="e">
        <f t="shared" si="25"/>
        <v>#N/A</v>
      </c>
      <c r="DX8" s="380" t="e">
        <f t="shared" si="25"/>
        <v>#N/A</v>
      </c>
      <c r="DY8" s="380" t="e">
        <f t="shared" si="35"/>
        <v>#N/A</v>
      </c>
      <c r="DZ8" s="378" t="e">
        <f t="shared" si="36"/>
        <v>#N/A</v>
      </c>
      <c r="EA8" s="378" t="e">
        <f t="shared" si="26"/>
        <v>#N/A</v>
      </c>
      <c r="EB8" s="378" t="e">
        <f t="shared" si="26"/>
        <v>#N/A</v>
      </c>
      <c r="EC8" s="378" t="e">
        <f t="shared" si="26"/>
        <v>#N/A</v>
      </c>
      <c r="ED8" s="378" t="e">
        <f t="shared" si="26"/>
        <v>#N/A</v>
      </c>
      <c r="EE8" s="378" t="e">
        <f t="shared" si="26"/>
        <v>#N/A</v>
      </c>
      <c r="EF8" s="378" t="e">
        <f t="shared" si="26"/>
        <v>#N/A</v>
      </c>
      <c r="EG8" s="378" t="e">
        <f t="shared" si="26"/>
        <v>#N/A</v>
      </c>
      <c r="EH8" s="378" t="e">
        <f t="shared" si="26"/>
        <v>#N/A</v>
      </c>
      <c r="EI8" s="378" t="e">
        <f t="shared" si="26"/>
        <v>#N/A</v>
      </c>
      <c r="EJ8" s="354" t="e">
        <f t="shared" si="37"/>
        <v>#N/A</v>
      </c>
      <c r="EK8" s="380" t="e">
        <f t="shared" si="38"/>
        <v>#N/A</v>
      </c>
      <c r="EL8" s="380" t="e">
        <f t="shared" si="27"/>
        <v>#N/A</v>
      </c>
      <c r="EM8" s="380" t="e">
        <f t="shared" si="27"/>
        <v>#N/A</v>
      </c>
      <c r="EN8" s="380" t="e">
        <f t="shared" si="27"/>
        <v>#N/A</v>
      </c>
      <c r="EO8" s="380" t="e">
        <f t="shared" si="27"/>
        <v>#N/A</v>
      </c>
      <c r="EP8" s="380" t="e">
        <f t="shared" si="27"/>
        <v>#N/A</v>
      </c>
      <c r="EQ8" s="380" t="e">
        <f t="shared" si="27"/>
        <v>#N/A</v>
      </c>
      <c r="ER8" s="380" t="e">
        <f t="shared" si="27"/>
        <v>#N/A</v>
      </c>
      <c r="ES8" s="380" t="e">
        <f t="shared" si="27"/>
        <v>#N/A</v>
      </c>
      <c r="ET8" s="380" t="e">
        <f t="shared" si="27"/>
        <v>#N/A</v>
      </c>
      <c r="EU8" s="379" t="e">
        <f t="shared" si="39"/>
        <v>#N/A</v>
      </c>
      <c r="EV8" s="381"/>
      <c r="EW8" s="382"/>
      <c r="EX8" s="382"/>
      <c r="EY8" s="382"/>
      <c r="EZ8" s="382"/>
      <c r="FA8" s="382"/>
      <c r="FB8" s="382"/>
    </row>
    <row r="9" spans="1:165" ht="35" customHeight="1" x14ac:dyDescent="0.3">
      <c r="A9" s="330"/>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7"/>
      <c r="AN9" s="318"/>
      <c r="AO9" s="513"/>
      <c r="AP9" s="513"/>
      <c r="AQ9" s="513"/>
      <c r="AR9" s="513"/>
      <c r="AS9" s="514"/>
      <c r="AT9" s="513"/>
      <c r="AU9" s="318"/>
      <c r="AV9" s="318"/>
      <c r="AW9" s="318"/>
      <c r="AX9" s="318"/>
      <c r="AY9" s="318"/>
      <c r="AZ9" s="318"/>
      <c r="BA9" s="318"/>
      <c r="BB9" s="318"/>
      <c r="BC9" s="318"/>
      <c r="BD9" s="318"/>
      <c r="BE9" s="318"/>
      <c r="BF9" s="318"/>
      <c r="BG9" s="333"/>
      <c r="BH9" s="333"/>
      <c r="BI9" s="333"/>
      <c r="BJ9" s="333"/>
      <c r="BK9" s="333"/>
      <c r="BL9" s="333"/>
      <c r="BM9" s="333"/>
      <c r="BN9" s="333"/>
      <c r="BO9" s="333"/>
      <c r="BP9" s="333"/>
      <c r="BQ9" s="333"/>
      <c r="BR9" s="333"/>
      <c r="BS9" s="333"/>
      <c r="BT9" s="334"/>
      <c r="BU9" s="335"/>
      <c r="BV9" s="255"/>
      <c r="BY9" s="376" t="s">
        <v>165</v>
      </c>
      <c r="BZ9" s="373">
        <v>250</v>
      </c>
      <c r="CA9" s="373">
        <v>350</v>
      </c>
      <c r="CB9" s="373">
        <v>500</v>
      </c>
      <c r="CC9" s="373">
        <v>0</v>
      </c>
      <c r="CD9" s="373">
        <v>40</v>
      </c>
      <c r="CE9" s="373">
        <v>60</v>
      </c>
      <c r="CF9" s="373">
        <v>60</v>
      </c>
      <c r="CG9" s="373">
        <v>40</v>
      </c>
      <c r="CH9" s="378"/>
      <c r="CI9" s="378"/>
      <c r="CJ9" s="378"/>
      <c r="CK9" s="378"/>
      <c r="CL9" s="378"/>
      <c r="CM9" s="378"/>
      <c r="CN9" s="378"/>
      <c r="CO9" s="378"/>
      <c r="CP9" s="378"/>
      <c r="CQ9" s="378"/>
      <c r="CR9" s="354"/>
      <c r="CS9" s="379"/>
      <c r="CT9" s="379"/>
      <c r="CU9" s="379"/>
      <c r="CV9" s="379"/>
      <c r="CW9" s="379"/>
      <c r="CX9" s="379"/>
      <c r="CY9" s="379"/>
      <c r="CZ9" s="379"/>
      <c r="DA9" s="379"/>
      <c r="DB9" s="379"/>
      <c r="DC9" s="379"/>
      <c r="DD9" s="354"/>
      <c r="DE9" s="378"/>
      <c r="DF9" s="378"/>
      <c r="DG9" s="378"/>
      <c r="DH9" s="378"/>
      <c r="DI9" s="378"/>
      <c r="DJ9" s="378"/>
      <c r="DK9" s="378"/>
      <c r="DL9" s="378"/>
      <c r="DM9" s="378"/>
      <c r="DN9" s="378"/>
      <c r="DO9" s="380"/>
      <c r="DP9" s="380"/>
      <c r="DQ9" s="380"/>
      <c r="DR9" s="380"/>
      <c r="DS9" s="380"/>
      <c r="DT9" s="380"/>
      <c r="DU9" s="380"/>
      <c r="DV9" s="380"/>
      <c r="DW9" s="380"/>
      <c r="DX9" s="380"/>
      <c r="DY9" s="380"/>
      <c r="DZ9" s="378"/>
      <c r="EA9" s="378"/>
      <c r="EB9" s="378"/>
      <c r="EC9" s="378"/>
      <c r="ED9" s="378"/>
      <c r="EE9" s="378"/>
      <c r="EF9" s="378"/>
      <c r="EG9" s="378"/>
      <c r="EH9" s="378"/>
      <c r="EI9" s="378"/>
      <c r="EJ9" s="354"/>
      <c r="EK9" s="380"/>
      <c r="EL9" s="380"/>
      <c r="EM9" s="380"/>
      <c r="EN9" s="380"/>
      <c r="EO9" s="380"/>
      <c r="EP9" s="380"/>
      <c r="EQ9" s="380"/>
      <c r="ER9" s="380"/>
      <c r="ES9" s="380"/>
      <c r="ET9" s="380"/>
      <c r="EU9" s="379"/>
      <c r="EV9" s="382"/>
      <c r="EW9" s="382"/>
      <c r="EX9" s="382"/>
      <c r="EY9" s="382"/>
      <c r="EZ9" s="382"/>
      <c r="FA9" s="382"/>
      <c r="FB9" s="382"/>
      <c r="FD9" s="582"/>
      <c r="FE9" s="582"/>
      <c r="FF9" s="582"/>
      <c r="FG9" s="582"/>
      <c r="FH9" s="582"/>
      <c r="FI9" s="582"/>
    </row>
    <row r="10" spans="1:165" ht="35" customHeight="1" x14ac:dyDescent="0.3">
      <c r="A10" s="330"/>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7"/>
      <c r="AN10" s="318"/>
      <c r="AO10" s="513"/>
      <c r="AP10" s="513"/>
      <c r="AQ10" s="513"/>
      <c r="AR10" s="513"/>
      <c r="AS10" s="514"/>
      <c r="AT10" s="513"/>
      <c r="AU10" s="318"/>
      <c r="AV10" s="318"/>
      <c r="AW10" s="318"/>
      <c r="AX10" s="318"/>
      <c r="AY10" s="318"/>
      <c r="AZ10" s="318"/>
      <c r="BA10" s="318"/>
      <c r="BB10" s="318"/>
      <c r="BC10" s="318"/>
      <c r="BD10" s="318"/>
      <c r="BE10" s="318"/>
      <c r="BF10" s="318"/>
      <c r="BG10" s="333"/>
      <c r="BH10" s="333"/>
      <c r="BI10" s="333"/>
      <c r="BJ10" s="333"/>
      <c r="BK10" s="333"/>
      <c r="BL10" s="333"/>
      <c r="BM10" s="333"/>
      <c r="BN10" s="333"/>
      <c r="BO10" s="333"/>
      <c r="BP10" s="333"/>
      <c r="BQ10" s="333"/>
      <c r="BR10" s="333"/>
      <c r="BS10" s="333"/>
      <c r="BT10" s="334"/>
      <c r="BU10" s="335"/>
      <c r="BV10" s="255"/>
      <c r="BY10" s="376" t="s">
        <v>166</v>
      </c>
      <c r="BZ10" s="373">
        <v>100</v>
      </c>
      <c r="CA10" s="373">
        <v>150</v>
      </c>
      <c r="CB10" s="373">
        <v>300</v>
      </c>
      <c r="CC10" s="373">
        <v>0</v>
      </c>
      <c r="CD10" s="373">
        <v>20</v>
      </c>
      <c r="CE10" s="373">
        <v>30</v>
      </c>
      <c r="CF10" s="373">
        <v>40</v>
      </c>
      <c r="CG10" s="373">
        <v>20</v>
      </c>
      <c r="CH10" s="378"/>
      <c r="CI10" s="378"/>
      <c r="CJ10" s="378"/>
      <c r="CK10" s="378"/>
      <c r="CL10" s="378"/>
      <c r="CM10" s="378"/>
      <c r="CN10" s="378"/>
      <c r="CO10" s="378"/>
      <c r="CP10" s="378"/>
      <c r="CQ10" s="378"/>
      <c r="CR10" s="354"/>
      <c r="CS10" s="379"/>
      <c r="CT10" s="379"/>
      <c r="CU10" s="379"/>
      <c r="CV10" s="379"/>
      <c r="CW10" s="379"/>
      <c r="CX10" s="379"/>
      <c r="CY10" s="379"/>
      <c r="CZ10" s="379"/>
      <c r="DA10" s="379"/>
      <c r="DB10" s="379"/>
      <c r="DC10" s="379"/>
      <c r="DD10" s="354"/>
      <c r="DE10" s="378"/>
      <c r="DF10" s="378"/>
      <c r="DG10" s="378"/>
      <c r="DH10" s="378"/>
      <c r="DI10" s="378"/>
      <c r="DJ10" s="378"/>
      <c r="DK10" s="378"/>
      <c r="DL10" s="378"/>
      <c r="DM10" s="378"/>
      <c r="DN10" s="378"/>
      <c r="DO10" s="380"/>
      <c r="DP10" s="380"/>
      <c r="DQ10" s="380"/>
      <c r="DR10" s="380"/>
      <c r="DS10" s="380"/>
      <c r="DT10" s="380"/>
      <c r="DU10" s="380"/>
      <c r="DV10" s="380"/>
      <c r="DW10" s="380"/>
      <c r="DX10" s="380"/>
      <c r="DY10" s="380"/>
      <c r="DZ10" s="378"/>
      <c r="EA10" s="378"/>
      <c r="EB10" s="378"/>
      <c r="EC10" s="378"/>
      <c r="ED10" s="378"/>
      <c r="EE10" s="378"/>
      <c r="EF10" s="378"/>
      <c r="EG10" s="378"/>
      <c r="EH10" s="378"/>
      <c r="EI10" s="378"/>
      <c r="EJ10" s="354"/>
      <c r="EK10" s="380"/>
      <c r="EL10" s="380"/>
      <c r="EM10" s="380"/>
      <c r="EN10" s="380"/>
      <c r="EO10" s="380"/>
      <c r="EP10" s="380"/>
      <c r="EQ10" s="380"/>
      <c r="ER10" s="380"/>
      <c r="ES10" s="380"/>
      <c r="ET10" s="380"/>
      <c r="EU10" s="379"/>
      <c r="EV10" s="382"/>
      <c r="EW10" s="382"/>
      <c r="EX10" s="382"/>
      <c r="EY10" s="382"/>
      <c r="EZ10" s="382"/>
      <c r="FA10" s="382"/>
      <c r="FB10" s="382"/>
      <c r="FD10" s="582"/>
      <c r="FE10" s="582"/>
      <c r="FF10" s="582"/>
      <c r="FG10" s="582"/>
      <c r="FH10" s="582"/>
      <c r="FI10" s="582"/>
    </row>
    <row r="11" spans="1:165" ht="35" customHeight="1" x14ac:dyDescent="0.3">
      <c r="A11" s="330"/>
      <c r="B11" s="318"/>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7"/>
      <c r="AN11" s="318"/>
      <c r="AO11" s="513"/>
      <c r="AP11" s="513"/>
      <c r="AQ11" s="513"/>
      <c r="AR11" s="513"/>
      <c r="AS11" s="514"/>
      <c r="AT11" s="513"/>
      <c r="AU11" s="318"/>
      <c r="AV11" s="318"/>
      <c r="AW11" s="318"/>
      <c r="AX11" s="318"/>
      <c r="AY11" s="318"/>
      <c r="AZ11" s="318"/>
      <c r="BA11" s="318"/>
      <c r="BB11" s="318"/>
      <c r="BC11" s="318"/>
      <c r="BD11" s="318"/>
      <c r="BE11" s="318"/>
      <c r="BF11" s="318"/>
      <c r="BG11" s="333"/>
      <c r="BH11" s="333"/>
      <c r="BI11" s="333"/>
      <c r="BJ11" s="333"/>
      <c r="BK11" s="333"/>
      <c r="BL11" s="333"/>
      <c r="BM11" s="333"/>
      <c r="BN11" s="333"/>
      <c r="BO11" s="333"/>
      <c r="BP11" s="333"/>
      <c r="BQ11" s="333"/>
      <c r="BR11" s="333"/>
      <c r="BS11" s="333"/>
      <c r="BT11" s="334"/>
      <c r="BU11" s="335"/>
      <c r="BV11" s="255"/>
      <c r="BY11" s="376" t="s">
        <v>167</v>
      </c>
      <c r="BZ11" s="373">
        <v>80</v>
      </c>
      <c r="CA11" s="373">
        <v>100</v>
      </c>
      <c r="CB11" s="373">
        <v>150</v>
      </c>
      <c r="CC11" s="373">
        <v>0</v>
      </c>
      <c r="CD11" s="373">
        <v>10</v>
      </c>
      <c r="CE11" s="373">
        <v>20</v>
      </c>
      <c r="CF11" s="373">
        <v>30</v>
      </c>
      <c r="CG11" s="373">
        <v>10</v>
      </c>
      <c r="CH11" s="378"/>
      <c r="CI11" s="378"/>
      <c r="CJ11" s="378"/>
      <c r="CK11" s="378"/>
      <c r="CL11" s="378"/>
      <c r="CM11" s="378"/>
      <c r="CN11" s="378"/>
      <c r="CO11" s="378"/>
      <c r="CP11" s="378"/>
      <c r="CQ11" s="378"/>
      <c r="CR11" s="354"/>
      <c r="CS11" s="379"/>
      <c r="CT11" s="379"/>
      <c r="CU11" s="379"/>
      <c r="CV11" s="379"/>
      <c r="CW11" s="379"/>
      <c r="CX11" s="379"/>
      <c r="CY11" s="379"/>
      <c r="CZ11" s="379"/>
      <c r="DA11" s="379"/>
      <c r="DB11" s="379"/>
      <c r="DC11" s="379"/>
      <c r="DD11" s="354"/>
      <c r="DE11" s="378"/>
      <c r="DF11" s="378"/>
      <c r="DG11" s="378"/>
      <c r="DH11" s="378"/>
      <c r="DI11" s="378"/>
      <c r="DJ11" s="378"/>
      <c r="DK11" s="378"/>
      <c r="DL11" s="378"/>
      <c r="DM11" s="378"/>
      <c r="DN11" s="378"/>
      <c r="DO11" s="380"/>
      <c r="DP11" s="380"/>
      <c r="DQ11" s="380"/>
      <c r="DR11" s="380"/>
      <c r="DS11" s="380"/>
      <c r="DT11" s="380"/>
      <c r="DU11" s="380"/>
      <c r="DV11" s="380"/>
      <c r="DW11" s="380"/>
      <c r="DX11" s="380"/>
      <c r="DY11" s="380"/>
      <c r="DZ11" s="378"/>
      <c r="EA11" s="378"/>
      <c r="EB11" s="378"/>
      <c r="EC11" s="378"/>
      <c r="ED11" s="378"/>
      <c r="EE11" s="378"/>
      <c r="EF11" s="378"/>
      <c r="EG11" s="378"/>
      <c r="EH11" s="378"/>
      <c r="EI11" s="378"/>
      <c r="EJ11" s="354"/>
      <c r="EK11" s="380"/>
      <c r="EL11" s="380"/>
      <c r="EM11" s="380"/>
      <c r="EN11" s="380"/>
      <c r="EO11" s="380"/>
      <c r="EP11" s="380"/>
      <c r="EQ11" s="380"/>
      <c r="ER11" s="380"/>
      <c r="ES11" s="380"/>
      <c r="ET11" s="380"/>
      <c r="EU11" s="379"/>
      <c r="EV11" s="382"/>
      <c r="EW11" s="382"/>
      <c r="EX11" s="382"/>
      <c r="EY11" s="382"/>
      <c r="EZ11" s="382"/>
      <c r="FA11" s="382"/>
      <c r="FB11" s="382"/>
      <c r="FD11" s="582"/>
      <c r="FE11" s="582"/>
      <c r="FF11" s="582"/>
      <c r="FG11" s="582"/>
      <c r="FH11" s="582"/>
      <c r="FI11" s="582"/>
    </row>
    <row r="12" spans="1:165" ht="35" customHeight="1" x14ac:dyDescent="0.3">
      <c r="A12" s="330"/>
      <c r="B12" s="318"/>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7"/>
      <c r="AN12" s="318"/>
      <c r="AO12" s="513"/>
      <c r="AP12" s="513"/>
      <c r="AQ12" s="513"/>
      <c r="AR12" s="513"/>
      <c r="AS12" s="514"/>
      <c r="AT12" s="513"/>
      <c r="AU12" s="318"/>
      <c r="AV12" s="318"/>
      <c r="AW12" s="318"/>
      <c r="AX12" s="318"/>
      <c r="AY12" s="318"/>
      <c r="AZ12" s="318"/>
      <c r="BA12" s="318"/>
      <c r="BB12" s="318"/>
      <c r="BC12" s="318"/>
      <c r="BD12" s="318"/>
      <c r="BE12" s="318"/>
      <c r="BF12" s="318"/>
      <c r="BG12" s="333"/>
      <c r="BH12" s="333"/>
      <c r="BI12" s="333"/>
      <c r="BJ12" s="333"/>
      <c r="BK12" s="333"/>
      <c r="BL12" s="333"/>
      <c r="BM12" s="333"/>
      <c r="BN12" s="333"/>
      <c r="BO12" s="333"/>
      <c r="BP12" s="333"/>
      <c r="BQ12" s="333"/>
      <c r="BR12" s="333"/>
      <c r="BS12" s="333"/>
      <c r="BT12" s="334"/>
      <c r="BU12" s="335"/>
      <c r="BV12" s="255"/>
      <c r="BY12" s="376" t="str">
        <f>'GRC and TUL Assumptions'!A12</f>
        <v>Services Electrical</v>
      </c>
      <c r="BZ12" s="373">
        <f>'GRC and TUL Assumptions'!C12</f>
        <v>80</v>
      </c>
      <c r="CA12" s="373">
        <f>'GRC and TUL Assumptions'!D12</f>
        <v>100</v>
      </c>
      <c r="CB12" s="373">
        <f>'GRC and TUL Assumptions'!E12</f>
        <v>150</v>
      </c>
      <c r="CC12" s="373">
        <v>0</v>
      </c>
      <c r="CD12" s="373">
        <f>'GRC and TUL Assumptions'!F12</f>
        <v>20</v>
      </c>
      <c r="CE12" s="373">
        <f>'GRC and TUL Assumptions'!G12</f>
        <v>30</v>
      </c>
      <c r="CF12" s="373">
        <f>'GRC and TUL Assumptions'!H12</f>
        <v>40</v>
      </c>
      <c r="CG12" s="373">
        <f t="shared" si="32"/>
        <v>20</v>
      </c>
      <c r="CH12" s="378" t="e">
        <f t="shared" si="5"/>
        <v>#N/A</v>
      </c>
      <c r="CI12" s="378" t="e">
        <f t="shared" si="6"/>
        <v>#N/A</v>
      </c>
      <c r="CJ12" s="378" t="e">
        <f t="shared" si="7"/>
        <v>#N/A</v>
      </c>
      <c r="CK12" s="378" t="e">
        <f t="shared" si="8"/>
        <v>#N/A</v>
      </c>
      <c r="CL12" s="378" t="e">
        <f t="shared" si="9"/>
        <v>#N/A</v>
      </c>
      <c r="CM12" s="378" t="e">
        <f t="shared" si="10"/>
        <v>#N/A</v>
      </c>
      <c r="CN12" s="378" t="e">
        <f t="shared" si="11"/>
        <v>#N/A</v>
      </c>
      <c r="CO12" s="378" t="e">
        <f t="shared" si="12"/>
        <v>#N/A</v>
      </c>
      <c r="CP12" s="378" t="e">
        <f t="shared" si="13"/>
        <v>#N/A</v>
      </c>
      <c r="CQ12" s="378" t="e">
        <f t="shared" si="14"/>
        <v>#N/A</v>
      </c>
      <c r="CR12" s="354" t="e">
        <f t="shared" si="33"/>
        <v>#N/A</v>
      </c>
      <c r="CS12" s="379" t="e">
        <f>(HLOOKUP($AI12,'Inflation Adjustments'!$B$3:$BT$4,2,TRUE))*CH12</f>
        <v>#N/A</v>
      </c>
      <c r="CT12" s="379" t="e">
        <f>(HLOOKUP($AI12,'Inflation Adjustments'!$B$3:$BT$4,2,TRUE))*CI12</f>
        <v>#N/A</v>
      </c>
      <c r="CU12" s="379" t="e">
        <f>(HLOOKUP($AI12,'Inflation Adjustments'!$B$3:$BT$4,2,TRUE))*CJ12</f>
        <v>#N/A</v>
      </c>
      <c r="CV12" s="379" t="e">
        <f>(HLOOKUP($AI12,'Inflation Adjustments'!$B$3:$BT$4,2,TRUE))*CK12</f>
        <v>#N/A</v>
      </c>
      <c r="CW12" s="379" t="e">
        <f>(HLOOKUP($AI12,'Inflation Adjustments'!$B$3:$BT$4,2,TRUE))*CL12</f>
        <v>#N/A</v>
      </c>
      <c r="CX12" s="379" t="e">
        <f>(HLOOKUP($AI12,'Inflation Adjustments'!$B$3:$BT$4,2,TRUE))*CM12</f>
        <v>#N/A</v>
      </c>
      <c r="CY12" s="379" t="e">
        <f>(HLOOKUP($AI12,'Inflation Adjustments'!$B$3:$BT$4,2,TRUE))*CN12</f>
        <v>#N/A</v>
      </c>
      <c r="CZ12" s="379" t="e">
        <f>(HLOOKUP($AI12,'Inflation Adjustments'!$B$3:$BT$4,2,TRUE))*CO12</f>
        <v>#N/A</v>
      </c>
      <c r="DA12" s="379" t="e">
        <f>(HLOOKUP($AI12,'Inflation Adjustments'!$B$3:$BT$4,2,TRUE))*CP12</f>
        <v>#N/A</v>
      </c>
      <c r="DB12" s="379" t="e">
        <f>(HLOOKUP($AI12,'Inflation Adjustments'!$B$3:$BT$4,2,TRUE))*CQ12</f>
        <v>#N/A</v>
      </c>
      <c r="DC12" s="379" t="e">
        <f t="shared" si="40"/>
        <v>#N/A</v>
      </c>
      <c r="DD12" s="354">
        <f t="shared" si="15"/>
        <v>2022</v>
      </c>
      <c r="DE12" s="378" t="e">
        <f t="shared" si="16"/>
        <v>#N/A</v>
      </c>
      <c r="DF12" s="378" t="e">
        <f t="shared" si="17"/>
        <v>#N/A</v>
      </c>
      <c r="DG12" s="378" t="e">
        <f t="shared" si="18"/>
        <v>#N/A</v>
      </c>
      <c r="DH12" s="378" t="e">
        <f t="shared" si="19"/>
        <v>#N/A</v>
      </c>
      <c r="DI12" s="378" t="e">
        <f t="shared" si="20"/>
        <v>#N/A</v>
      </c>
      <c r="DJ12" s="378" t="e">
        <f t="shared" si="21"/>
        <v>#N/A</v>
      </c>
      <c r="DK12" s="378" t="e">
        <f t="shared" si="22"/>
        <v>#N/A</v>
      </c>
      <c r="DL12" s="378" t="e">
        <f t="shared" si="22"/>
        <v>#N/A</v>
      </c>
      <c r="DM12" s="378" t="e">
        <f t="shared" si="23"/>
        <v>#N/A</v>
      </c>
      <c r="DN12" s="378" t="e">
        <f t="shared" si="24"/>
        <v>#N/A</v>
      </c>
      <c r="DO12" s="380" t="e">
        <f t="shared" si="34"/>
        <v>#N/A</v>
      </c>
      <c r="DP12" s="380" t="e">
        <f t="shared" si="25"/>
        <v>#N/A</v>
      </c>
      <c r="DQ12" s="380" t="e">
        <f t="shared" si="25"/>
        <v>#N/A</v>
      </c>
      <c r="DR12" s="380" t="e">
        <f t="shared" si="25"/>
        <v>#N/A</v>
      </c>
      <c r="DS12" s="380" t="e">
        <f t="shared" si="25"/>
        <v>#N/A</v>
      </c>
      <c r="DT12" s="380" t="e">
        <f t="shared" si="25"/>
        <v>#N/A</v>
      </c>
      <c r="DU12" s="380" t="e">
        <f t="shared" si="25"/>
        <v>#N/A</v>
      </c>
      <c r="DV12" s="380" t="e">
        <f t="shared" si="25"/>
        <v>#N/A</v>
      </c>
      <c r="DW12" s="380" t="e">
        <f t="shared" si="25"/>
        <v>#N/A</v>
      </c>
      <c r="DX12" s="380" t="e">
        <f t="shared" si="25"/>
        <v>#N/A</v>
      </c>
      <c r="DY12" s="380" t="e">
        <f t="shared" si="35"/>
        <v>#N/A</v>
      </c>
      <c r="DZ12" s="378" t="e">
        <f t="shared" si="36"/>
        <v>#N/A</v>
      </c>
      <c r="EA12" s="378" t="e">
        <f t="shared" si="26"/>
        <v>#N/A</v>
      </c>
      <c r="EB12" s="378" t="e">
        <f t="shared" si="26"/>
        <v>#N/A</v>
      </c>
      <c r="EC12" s="378" t="e">
        <f t="shared" si="26"/>
        <v>#N/A</v>
      </c>
      <c r="ED12" s="378" t="e">
        <f t="shared" si="26"/>
        <v>#N/A</v>
      </c>
      <c r="EE12" s="378" t="e">
        <f t="shared" si="26"/>
        <v>#N/A</v>
      </c>
      <c r="EF12" s="378" t="e">
        <f t="shared" si="26"/>
        <v>#N/A</v>
      </c>
      <c r="EG12" s="378" t="e">
        <f t="shared" si="26"/>
        <v>#N/A</v>
      </c>
      <c r="EH12" s="378" t="e">
        <f t="shared" si="26"/>
        <v>#N/A</v>
      </c>
      <c r="EI12" s="378" t="e">
        <f t="shared" si="26"/>
        <v>#N/A</v>
      </c>
      <c r="EJ12" s="354" t="e">
        <f t="shared" si="37"/>
        <v>#N/A</v>
      </c>
      <c r="EK12" s="380" t="e">
        <f t="shared" si="38"/>
        <v>#N/A</v>
      </c>
      <c r="EL12" s="380" t="e">
        <f t="shared" si="27"/>
        <v>#N/A</v>
      </c>
      <c r="EM12" s="380" t="e">
        <f t="shared" si="27"/>
        <v>#N/A</v>
      </c>
      <c r="EN12" s="380" t="e">
        <f t="shared" si="27"/>
        <v>#N/A</v>
      </c>
      <c r="EO12" s="380" t="e">
        <f t="shared" si="27"/>
        <v>#N/A</v>
      </c>
      <c r="EP12" s="380" t="e">
        <f t="shared" si="27"/>
        <v>#N/A</v>
      </c>
      <c r="EQ12" s="380" t="e">
        <f t="shared" si="27"/>
        <v>#N/A</v>
      </c>
      <c r="ER12" s="380" t="e">
        <f t="shared" si="27"/>
        <v>#N/A</v>
      </c>
      <c r="ES12" s="380" t="e">
        <f t="shared" si="27"/>
        <v>#N/A</v>
      </c>
      <c r="ET12" s="380" t="e">
        <f t="shared" si="27"/>
        <v>#N/A</v>
      </c>
      <c r="EU12" s="379" t="e">
        <f t="shared" si="39"/>
        <v>#N/A</v>
      </c>
      <c r="EV12" s="382"/>
      <c r="EW12" s="382"/>
      <c r="EX12" s="382"/>
      <c r="EY12" s="382"/>
      <c r="EZ12" s="382"/>
      <c r="FA12" s="382"/>
      <c r="FB12" s="382"/>
      <c r="FE12" s="582"/>
      <c r="FF12" s="582"/>
      <c r="FG12" s="582"/>
      <c r="FH12" s="582"/>
    </row>
    <row r="13" spans="1:165" ht="35" customHeight="1" x14ac:dyDescent="0.3">
      <c r="A13" s="330"/>
      <c r="B13" s="318"/>
      <c r="C13" s="318"/>
      <c r="D13" s="318"/>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7"/>
      <c r="AN13" s="318"/>
      <c r="AO13" s="513"/>
      <c r="AP13" s="513"/>
      <c r="AQ13" s="513"/>
      <c r="AR13" s="513"/>
      <c r="AS13" s="514"/>
      <c r="AT13" s="513"/>
      <c r="AU13" s="318"/>
      <c r="AV13" s="318"/>
      <c r="AW13" s="318"/>
      <c r="AX13" s="318"/>
      <c r="AY13" s="318"/>
      <c r="AZ13" s="318"/>
      <c r="BA13" s="318"/>
      <c r="BB13" s="318"/>
      <c r="BC13" s="318"/>
      <c r="BD13" s="318"/>
      <c r="BE13" s="318"/>
      <c r="BF13" s="318"/>
      <c r="BG13" s="333"/>
      <c r="BH13" s="333"/>
      <c r="BI13" s="333"/>
      <c r="BJ13" s="333"/>
      <c r="BK13" s="333"/>
      <c r="BL13" s="333"/>
      <c r="BM13" s="333"/>
      <c r="BN13" s="333"/>
      <c r="BO13" s="333"/>
      <c r="BP13" s="333"/>
      <c r="BQ13" s="333"/>
      <c r="BR13" s="333"/>
      <c r="BS13" s="333"/>
      <c r="BT13" s="334"/>
      <c r="BU13" s="335"/>
      <c r="BV13" s="255"/>
      <c r="BY13" s="376" t="str">
        <f>'GRC and TUL Assumptions'!A13</f>
        <v>Services Sanitation</v>
      </c>
      <c r="BZ13" s="373">
        <f>'GRC and TUL Assumptions'!C13</f>
        <v>100</v>
      </c>
      <c r="CA13" s="373">
        <f>'GRC and TUL Assumptions'!D13</f>
        <v>130</v>
      </c>
      <c r="CB13" s="373">
        <f>'GRC and TUL Assumptions'!E13</f>
        <v>150</v>
      </c>
      <c r="CC13" s="373">
        <v>0</v>
      </c>
      <c r="CD13" s="373">
        <f>'GRC and TUL Assumptions'!F13</f>
        <v>20</v>
      </c>
      <c r="CE13" s="373">
        <f>'GRC and TUL Assumptions'!G13</f>
        <v>30</v>
      </c>
      <c r="CF13" s="373">
        <f>'GRC and TUL Assumptions'!H13</f>
        <v>40</v>
      </c>
      <c r="CG13" s="373">
        <f t="shared" si="32"/>
        <v>20</v>
      </c>
      <c r="CH13" s="378" t="e">
        <f t="shared" si="5"/>
        <v>#N/A</v>
      </c>
      <c r="CI13" s="378" t="e">
        <f t="shared" si="6"/>
        <v>#N/A</v>
      </c>
      <c r="CJ13" s="378" t="e">
        <f t="shared" si="7"/>
        <v>#N/A</v>
      </c>
      <c r="CK13" s="378" t="e">
        <f t="shared" si="8"/>
        <v>#N/A</v>
      </c>
      <c r="CL13" s="378" t="e">
        <f t="shared" si="9"/>
        <v>#N/A</v>
      </c>
      <c r="CM13" s="378" t="e">
        <f t="shared" si="10"/>
        <v>#N/A</v>
      </c>
      <c r="CN13" s="378" t="e">
        <f t="shared" si="11"/>
        <v>#N/A</v>
      </c>
      <c r="CO13" s="378" t="e">
        <f t="shared" si="12"/>
        <v>#N/A</v>
      </c>
      <c r="CP13" s="378" t="e">
        <f t="shared" si="13"/>
        <v>#N/A</v>
      </c>
      <c r="CQ13" s="378" t="e">
        <f t="shared" si="14"/>
        <v>#N/A</v>
      </c>
      <c r="CR13" s="354" t="e">
        <f t="shared" si="33"/>
        <v>#N/A</v>
      </c>
      <c r="CS13" s="379" t="e">
        <f>(HLOOKUP($AI13,'Inflation Adjustments'!$B$3:$BT$4,2,TRUE))*CH13</f>
        <v>#N/A</v>
      </c>
      <c r="CT13" s="379" t="e">
        <f>(HLOOKUP($AI13,'Inflation Adjustments'!$B$3:$BT$4,2,TRUE))*CI13</f>
        <v>#N/A</v>
      </c>
      <c r="CU13" s="379" t="e">
        <f>(HLOOKUP($AI13,'Inflation Adjustments'!$B$3:$BT$4,2,TRUE))*CJ13</f>
        <v>#N/A</v>
      </c>
      <c r="CV13" s="379" t="e">
        <f>(HLOOKUP($AI13,'Inflation Adjustments'!$B$3:$BT$4,2,TRUE))*CK13</f>
        <v>#N/A</v>
      </c>
      <c r="CW13" s="379" t="e">
        <f>(HLOOKUP($AI13,'Inflation Adjustments'!$B$3:$BT$4,2,TRUE))*CL13</f>
        <v>#N/A</v>
      </c>
      <c r="CX13" s="379" t="e">
        <f>(HLOOKUP($AI13,'Inflation Adjustments'!$B$3:$BT$4,2,TRUE))*CM13</f>
        <v>#N/A</v>
      </c>
      <c r="CY13" s="379" t="e">
        <f>(HLOOKUP($AI13,'Inflation Adjustments'!$B$3:$BT$4,2,TRUE))*CN13</f>
        <v>#N/A</v>
      </c>
      <c r="CZ13" s="379" t="e">
        <f>(HLOOKUP($AI13,'Inflation Adjustments'!$B$3:$BT$4,2,TRUE))*CO13</f>
        <v>#N/A</v>
      </c>
      <c r="DA13" s="379" t="e">
        <f>(HLOOKUP($AI13,'Inflation Adjustments'!$B$3:$BT$4,2,TRUE))*CP13</f>
        <v>#N/A</v>
      </c>
      <c r="DB13" s="379" t="e">
        <f>(HLOOKUP($AI13,'Inflation Adjustments'!$B$3:$BT$4,2,TRUE))*CQ13</f>
        <v>#N/A</v>
      </c>
      <c r="DC13" s="379" t="e">
        <f t="shared" si="40"/>
        <v>#N/A</v>
      </c>
      <c r="DD13" s="354">
        <f t="shared" si="15"/>
        <v>2022</v>
      </c>
      <c r="DE13" s="378" t="e">
        <f t="shared" si="16"/>
        <v>#N/A</v>
      </c>
      <c r="DF13" s="378" t="e">
        <f t="shared" si="17"/>
        <v>#N/A</v>
      </c>
      <c r="DG13" s="378" t="e">
        <f t="shared" si="18"/>
        <v>#N/A</v>
      </c>
      <c r="DH13" s="378" t="e">
        <f t="shared" si="19"/>
        <v>#N/A</v>
      </c>
      <c r="DI13" s="378" t="e">
        <f t="shared" si="20"/>
        <v>#N/A</v>
      </c>
      <c r="DJ13" s="378" t="e">
        <f t="shared" si="21"/>
        <v>#N/A</v>
      </c>
      <c r="DK13" s="378" t="e">
        <f t="shared" si="22"/>
        <v>#N/A</v>
      </c>
      <c r="DL13" s="378" t="e">
        <f t="shared" si="22"/>
        <v>#N/A</v>
      </c>
      <c r="DM13" s="378" t="e">
        <f t="shared" si="23"/>
        <v>#N/A</v>
      </c>
      <c r="DN13" s="378" t="e">
        <f t="shared" si="24"/>
        <v>#N/A</v>
      </c>
      <c r="DO13" s="380" t="e">
        <f t="shared" si="34"/>
        <v>#N/A</v>
      </c>
      <c r="DP13" s="380" t="e">
        <f t="shared" si="25"/>
        <v>#N/A</v>
      </c>
      <c r="DQ13" s="380" t="e">
        <f t="shared" si="25"/>
        <v>#N/A</v>
      </c>
      <c r="DR13" s="380" t="e">
        <f t="shared" si="25"/>
        <v>#N/A</v>
      </c>
      <c r="DS13" s="380" t="e">
        <f t="shared" si="25"/>
        <v>#N/A</v>
      </c>
      <c r="DT13" s="380" t="e">
        <f t="shared" si="25"/>
        <v>#N/A</v>
      </c>
      <c r="DU13" s="380" t="e">
        <f t="shared" si="25"/>
        <v>#N/A</v>
      </c>
      <c r="DV13" s="380" t="e">
        <f t="shared" si="25"/>
        <v>#N/A</v>
      </c>
      <c r="DW13" s="380" t="e">
        <f t="shared" si="25"/>
        <v>#N/A</v>
      </c>
      <c r="DX13" s="380" t="e">
        <f t="shared" si="25"/>
        <v>#N/A</v>
      </c>
      <c r="DY13" s="380" t="e">
        <f t="shared" si="35"/>
        <v>#N/A</v>
      </c>
      <c r="DZ13" s="378" t="e">
        <f t="shared" si="36"/>
        <v>#N/A</v>
      </c>
      <c r="EA13" s="378" t="e">
        <f t="shared" si="26"/>
        <v>#N/A</v>
      </c>
      <c r="EB13" s="378" t="e">
        <f t="shared" si="26"/>
        <v>#N/A</v>
      </c>
      <c r="EC13" s="378" t="e">
        <f t="shared" si="26"/>
        <v>#N/A</v>
      </c>
      <c r="ED13" s="378" t="e">
        <f t="shared" si="26"/>
        <v>#N/A</v>
      </c>
      <c r="EE13" s="378" t="e">
        <f t="shared" si="26"/>
        <v>#N/A</v>
      </c>
      <c r="EF13" s="378" t="e">
        <f t="shared" si="26"/>
        <v>#N/A</v>
      </c>
      <c r="EG13" s="378" t="e">
        <f t="shared" si="26"/>
        <v>#N/A</v>
      </c>
      <c r="EH13" s="378" t="e">
        <f t="shared" si="26"/>
        <v>#N/A</v>
      </c>
      <c r="EI13" s="378" t="e">
        <f t="shared" si="26"/>
        <v>#N/A</v>
      </c>
      <c r="EJ13" s="354" t="e">
        <f t="shared" si="37"/>
        <v>#N/A</v>
      </c>
      <c r="EK13" s="380" t="e">
        <f t="shared" si="38"/>
        <v>#N/A</v>
      </c>
      <c r="EL13" s="380" t="e">
        <f t="shared" si="27"/>
        <v>#N/A</v>
      </c>
      <c r="EM13" s="380" t="e">
        <f t="shared" si="27"/>
        <v>#N/A</v>
      </c>
      <c r="EN13" s="380" t="e">
        <f t="shared" si="27"/>
        <v>#N/A</v>
      </c>
      <c r="EO13" s="380" t="e">
        <f t="shared" si="27"/>
        <v>#N/A</v>
      </c>
      <c r="EP13" s="380" t="e">
        <f t="shared" si="27"/>
        <v>#N/A</v>
      </c>
      <c r="EQ13" s="380" t="e">
        <f t="shared" si="27"/>
        <v>#N/A</v>
      </c>
      <c r="ER13" s="380" t="e">
        <f t="shared" si="27"/>
        <v>#N/A</v>
      </c>
      <c r="ES13" s="380" t="e">
        <f t="shared" si="27"/>
        <v>#N/A</v>
      </c>
      <c r="ET13" s="380" t="e">
        <f t="shared" si="27"/>
        <v>#N/A</v>
      </c>
      <c r="EU13" s="379" t="e">
        <f t="shared" si="39"/>
        <v>#N/A</v>
      </c>
      <c r="EV13" s="382"/>
      <c r="EW13" s="382"/>
      <c r="EX13" s="382"/>
      <c r="EY13" s="382"/>
      <c r="EZ13" s="382"/>
      <c r="FA13" s="382"/>
      <c r="FB13" s="382"/>
      <c r="FD13" s="630"/>
      <c r="FE13" s="630"/>
      <c r="FF13" s="630"/>
      <c r="FG13" s="630"/>
      <c r="FH13" s="630"/>
    </row>
    <row r="14" spans="1:165" ht="35" customHeight="1" x14ac:dyDescent="0.3">
      <c r="A14" s="330"/>
      <c r="B14" s="318"/>
      <c r="C14" s="318"/>
      <c r="D14" s="318"/>
      <c r="E14" s="318"/>
      <c r="F14" s="318"/>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7"/>
      <c r="AN14" s="318"/>
      <c r="AO14" s="513"/>
      <c r="AP14" s="513"/>
      <c r="AQ14" s="513"/>
      <c r="AR14" s="513"/>
      <c r="AS14" s="514"/>
      <c r="AT14" s="513"/>
      <c r="AU14" s="318"/>
      <c r="AV14" s="318"/>
      <c r="AW14" s="318"/>
      <c r="AX14" s="318"/>
      <c r="AY14" s="318"/>
      <c r="AZ14" s="318"/>
      <c r="BA14" s="318"/>
      <c r="BB14" s="318"/>
      <c r="BC14" s="318"/>
      <c r="BD14" s="318"/>
      <c r="BE14" s="318"/>
      <c r="BF14" s="318"/>
      <c r="BG14" s="333"/>
      <c r="BH14" s="333"/>
      <c r="BI14" s="333"/>
      <c r="BJ14" s="333"/>
      <c r="BK14" s="333"/>
      <c r="BL14" s="333"/>
      <c r="BM14" s="333"/>
      <c r="BN14" s="333"/>
      <c r="BO14" s="333"/>
      <c r="BP14" s="333"/>
      <c r="BQ14" s="333"/>
      <c r="BR14" s="333"/>
      <c r="BS14" s="333"/>
      <c r="BT14" s="334"/>
      <c r="BU14" s="335"/>
      <c r="BV14" s="255"/>
      <c r="BY14" s="376" t="str">
        <f>'GRC and TUL Assumptions'!A14</f>
        <v>Services Water</v>
      </c>
      <c r="BZ14" s="373">
        <f>'GRC and TUL Assumptions'!C14</f>
        <v>20</v>
      </c>
      <c r="CA14" s="373">
        <f>'GRC and TUL Assumptions'!D14</f>
        <v>40</v>
      </c>
      <c r="CB14" s="373">
        <f>'GRC and TUL Assumptions'!E14</f>
        <v>70</v>
      </c>
      <c r="CC14" s="373">
        <v>0</v>
      </c>
      <c r="CD14" s="373">
        <f>'GRC and TUL Assumptions'!F14</f>
        <v>20</v>
      </c>
      <c r="CE14" s="373">
        <f>'GRC and TUL Assumptions'!G14</f>
        <v>30</v>
      </c>
      <c r="CF14" s="373">
        <f>'GRC and TUL Assumptions'!H14</f>
        <v>40</v>
      </c>
      <c r="CG14" s="373">
        <f t="shared" si="32"/>
        <v>20</v>
      </c>
      <c r="CH14" s="378" t="e">
        <f t="shared" si="5"/>
        <v>#N/A</v>
      </c>
      <c r="CI14" s="378" t="e">
        <f t="shared" si="6"/>
        <v>#N/A</v>
      </c>
      <c r="CJ14" s="378" t="e">
        <f t="shared" si="7"/>
        <v>#N/A</v>
      </c>
      <c r="CK14" s="378" t="e">
        <f t="shared" si="8"/>
        <v>#N/A</v>
      </c>
      <c r="CL14" s="378" t="e">
        <f t="shared" si="9"/>
        <v>#N/A</v>
      </c>
      <c r="CM14" s="378" t="e">
        <f t="shared" si="10"/>
        <v>#N/A</v>
      </c>
      <c r="CN14" s="378" t="e">
        <f t="shared" si="11"/>
        <v>#N/A</v>
      </c>
      <c r="CO14" s="378" t="e">
        <f t="shared" si="12"/>
        <v>#N/A</v>
      </c>
      <c r="CP14" s="378" t="e">
        <f t="shared" si="13"/>
        <v>#N/A</v>
      </c>
      <c r="CQ14" s="378" t="e">
        <f t="shared" si="14"/>
        <v>#N/A</v>
      </c>
      <c r="CR14" s="354" t="e">
        <f t="shared" si="33"/>
        <v>#N/A</v>
      </c>
      <c r="CS14" s="379" t="e">
        <f>(HLOOKUP($AI14,'Inflation Adjustments'!$B$3:$BT$4,2,TRUE))*CH14</f>
        <v>#N/A</v>
      </c>
      <c r="CT14" s="379" t="e">
        <f>(HLOOKUP($AI14,'Inflation Adjustments'!$B$3:$BT$4,2,TRUE))*CI14</f>
        <v>#N/A</v>
      </c>
      <c r="CU14" s="379" t="e">
        <f>(HLOOKUP($AI14,'Inflation Adjustments'!$B$3:$BT$4,2,TRUE))*CJ14</f>
        <v>#N/A</v>
      </c>
      <c r="CV14" s="379" t="e">
        <f>(HLOOKUP($AI14,'Inflation Adjustments'!$B$3:$BT$4,2,TRUE))*CK14</f>
        <v>#N/A</v>
      </c>
      <c r="CW14" s="379" t="e">
        <f>(HLOOKUP($AI14,'Inflation Adjustments'!$B$3:$BT$4,2,TRUE))*CL14</f>
        <v>#N/A</v>
      </c>
      <c r="CX14" s="379" t="e">
        <f>(HLOOKUP($AI14,'Inflation Adjustments'!$B$3:$BT$4,2,TRUE))*CM14</f>
        <v>#N/A</v>
      </c>
      <c r="CY14" s="379" t="e">
        <f>(HLOOKUP($AI14,'Inflation Adjustments'!$B$3:$BT$4,2,TRUE))*CN14</f>
        <v>#N/A</v>
      </c>
      <c r="CZ14" s="379" t="e">
        <f>(HLOOKUP($AI14,'Inflation Adjustments'!$B$3:$BT$4,2,TRUE))*CO14</f>
        <v>#N/A</v>
      </c>
      <c r="DA14" s="379" t="e">
        <f>(HLOOKUP($AI14,'Inflation Adjustments'!$B$3:$BT$4,2,TRUE))*CP14</f>
        <v>#N/A</v>
      </c>
      <c r="DB14" s="379" t="e">
        <f>(HLOOKUP($AI14,'Inflation Adjustments'!$B$3:$BT$4,2,TRUE))*CQ14</f>
        <v>#N/A</v>
      </c>
      <c r="DC14" s="379" t="e">
        <f t="shared" si="40"/>
        <v>#N/A</v>
      </c>
      <c r="DD14" s="354">
        <f t="shared" si="15"/>
        <v>2022</v>
      </c>
      <c r="DE14" s="378" t="e">
        <f t="shared" si="16"/>
        <v>#N/A</v>
      </c>
      <c r="DF14" s="378" t="e">
        <f t="shared" si="17"/>
        <v>#N/A</v>
      </c>
      <c r="DG14" s="378" t="e">
        <f t="shared" si="18"/>
        <v>#N/A</v>
      </c>
      <c r="DH14" s="378" t="e">
        <f t="shared" si="19"/>
        <v>#N/A</v>
      </c>
      <c r="DI14" s="378" t="e">
        <f t="shared" si="20"/>
        <v>#N/A</v>
      </c>
      <c r="DJ14" s="378" t="e">
        <f t="shared" si="21"/>
        <v>#N/A</v>
      </c>
      <c r="DK14" s="378" t="e">
        <f t="shared" si="22"/>
        <v>#N/A</v>
      </c>
      <c r="DL14" s="378" t="e">
        <f t="shared" si="22"/>
        <v>#N/A</v>
      </c>
      <c r="DM14" s="378" t="e">
        <f t="shared" si="23"/>
        <v>#N/A</v>
      </c>
      <c r="DN14" s="378" t="e">
        <f t="shared" si="24"/>
        <v>#N/A</v>
      </c>
      <c r="DO14" s="380" t="e">
        <f t="shared" si="34"/>
        <v>#N/A</v>
      </c>
      <c r="DP14" s="380" t="e">
        <f t="shared" si="25"/>
        <v>#N/A</v>
      </c>
      <c r="DQ14" s="380" t="e">
        <f t="shared" si="25"/>
        <v>#N/A</v>
      </c>
      <c r="DR14" s="380" t="e">
        <f t="shared" si="25"/>
        <v>#N/A</v>
      </c>
      <c r="DS14" s="380" t="e">
        <f t="shared" si="25"/>
        <v>#N/A</v>
      </c>
      <c r="DT14" s="380" t="e">
        <f t="shared" si="25"/>
        <v>#N/A</v>
      </c>
      <c r="DU14" s="380" t="e">
        <f t="shared" si="25"/>
        <v>#N/A</v>
      </c>
      <c r="DV14" s="380" t="e">
        <f t="shared" si="25"/>
        <v>#N/A</v>
      </c>
      <c r="DW14" s="380" t="e">
        <f t="shared" si="25"/>
        <v>#N/A</v>
      </c>
      <c r="DX14" s="380" t="e">
        <f t="shared" si="25"/>
        <v>#N/A</v>
      </c>
      <c r="DY14" s="380" t="e">
        <f t="shared" si="35"/>
        <v>#N/A</v>
      </c>
      <c r="DZ14" s="378" t="e">
        <f t="shared" si="36"/>
        <v>#N/A</v>
      </c>
      <c r="EA14" s="378" t="e">
        <f t="shared" si="26"/>
        <v>#N/A</v>
      </c>
      <c r="EB14" s="378" t="e">
        <f t="shared" si="26"/>
        <v>#N/A</v>
      </c>
      <c r="EC14" s="378" t="e">
        <f t="shared" si="26"/>
        <v>#N/A</v>
      </c>
      <c r="ED14" s="378" t="e">
        <f t="shared" si="26"/>
        <v>#N/A</v>
      </c>
      <c r="EE14" s="378" t="e">
        <f t="shared" si="26"/>
        <v>#N/A</v>
      </c>
      <c r="EF14" s="378" t="e">
        <f t="shared" si="26"/>
        <v>#N/A</v>
      </c>
      <c r="EG14" s="378" t="e">
        <f t="shared" si="26"/>
        <v>#N/A</v>
      </c>
      <c r="EH14" s="378" t="e">
        <f t="shared" si="26"/>
        <v>#N/A</v>
      </c>
      <c r="EI14" s="378" t="e">
        <f t="shared" si="26"/>
        <v>#N/A</v>
      </c>
      <c r="EJ14" s="354" t="e">
        <f t="shared" si="37"/>
        <v>#N/A</v>
      </c>
      <c r="EK14" s="380" t="e">
        <f t="shared" si="38"/>
        <v>#N/A</v>
      </c>
      <c r="EL14" s="380" t="e">
        <f t="shared" si="27"/>
        <v>#N/A</v>
      </c>
      <c r="EM14" s="380" t="e">
        <f t="shared" si="27"/>
        <v>#N/A</v>
      </c>
      <c r="EN14" s="380" t="e">
        <f t="shared" si="27"/>
        <v>#N/A</v>
      </c>
      <c r="EO14" s="380" t="e">
        <f t="shared" si="27"/>
        <v>#N/A</v>
      </c>
      <c r="EP14" s="380" t="e">
        <f t="shared" si="27"/>
        <v>#N/A</v>
      </c>
      <c r="EQ14" s="380" t="e">
        <f t="shared" si="27"/>
        <v>#N/A</v>
      </c>
      <c r="ER14" s="380" t="e">
        <f t="shared" si="27"/>
        <v>#N/A</v>
      </c>
      <c r="ES14" s="380" t="e">
        <f t="shared" si="27"/>
        <v>#N/A</v>
      </c>
      <c r="ET14" s="380" t="e">
        <f t="shared" si="27"/>
        <v>#N/A</v>
      </c>
      <c r="EU14" s="379" t="e">
        <f t="shared" si="39"/>
        <v>#N/A</v>
      </c>
      <c r="EV14" s="382"/>
      <c r="EW14" s="382"/>
      <c r="EX14" s="382"/>
      <c r="EY14" s="382"/>
      <c r="EZ14" s="382"/>
      <c r="FA14" s="382"/>
      <c r="FB14" s="382"/>
      <c r="FD14" s="583"/>
      <c r="FE14" s="583"/>
      <c r="FF14" s="583"/>
      <c r="FG14" s="583"/>
      <c r="FH14" s="583"/>
    </row>
    <row r="15" spans="1:165" ht="35" customHeight="1" x14ac:dyDescent="0.3">
      <c r="A15" s="330"/>
      <c r="B15" s="318"/>
      <c r="C15" s="318"/>
      <c r="D15" s="318"/>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7"/>
      <c r="AN15" s="318"/>
      <c r="AO15" s="513"/>
      <c r="AP15" s="513"/>
      <c r="AQ15" s="513"/>
      <c r="AR15" s="513"/>
      <c r="AS15" s="514"/>
      <c r="AT15" s="513"/>
      <c r="AU15" s="318"/>
      <c r="AV15" s="318"/>
      <c r="AW15" s="318"/>
      <c r="AX15" s="318"/>
      <c r="AY15" s="318"/>
      <c r="AZ15" s="318"/>
      <c r="BA15" s="318"/>
      <c r="BB15" s="318"/>
      <c r="BC15" s="318"/>
      <c r="BD15" s="318"/>
      <c r="BE15" s="318"/>
      <c r="BF15" s="318"/>
      <c r="BG15" s="333"/>
      <c r="BH15" s="333"/>
      <c r="BI15" s="333"/>
      <c r="BJ15" s="333"/>
      <c r="BK15" s="333"/>
      <c r="BL15" s="333"/>
      <c r="BM15" s="333"/>
      <c r="BN15" s="333"/>
      <c r="BO15" s="333"/>
      <c r="BP15" s="333"/>
      <c r="BQ15" s="333"/>
      <c r="BR15" s="333"/>
      <c r="BS15" s="333"/>
      <c r="BT15" s="334"/>
      <c r="BU15" s="335"/>
      <c r="BV15" s="255"/>
      <c r="BY15" s="144"/>
      <c r="BZ15" s="144"/>
      <c r="CA15" s="144"/>
      <c r="CB15" s="144"/>
      <c r="CC15" s="144"/>
      <c r="CD15" s="365"/>
      <c r="CE15" s="144"/>
      <c r="CF15" s="144"/>
      <c r="CG15" s="144"/>
      <c r="CH15" s="378" t="e">
        <f t="shared" si="5"/>
        <v>#N/A</v>
      </c>
      <c r="CI15" s="378" t="e">
        <f t="shared" si="6"/>
        <v>#N/A</v>
      </c>
      <c r="CJ15" s="378" t="e">
        <f t="shared" si="7"/>
        <v>#N/A</v>
      </c>
      <c r="CK15" s="378" t="e">
        <f t="shared" si="8"/>
        <v>#N/A</v>
      </c>
      <c r="CL15" s="378" t="e">
        <f t="shared" si="9"/>
        <v>#N/A</v>
      </c>
      <c r="CM15" s="378" t="e">
        <f t="shared" si="10"/>
        <v>#N/A</v>
      </c>
      <c r="CN15" s="378" t="e">
        <f t="shared" si="11"/>
        <v>#N/A</v>
      </c>
      <c r="CO15" s="378" t="e">
        <f t="shared" si="12"/>
        <v>#N/A</v>
      </c>
      <c r="CP15" s="378" t="e">
        <f t="shared" si="13"/>
        <v>#N/A</v>
      </c>
      <c r="CQ15" s="378" t="e">
        <f t="shared" si="14"/>
        <v>#N/A</v>
      </c>
      <c r="CR15" s="354" t="e">
        <f t="shared" si="33"/>
        <v>#N/A</v>
      </c>
      <c r="CS15" s="379" t="e">
        <f>(HLOOKUP($AI15,'Inflation Adjustments'!$B$3:$BT$4,2,TRUE))*CH15</f>
        <v>#N/A</v>
      </c>
      <c r="CT15" s="379" t="e">
        <f>(HLOOKUP($AI15,'Inflation Adjustments'!$B$3:$BT$4,2,TRUE))*CI15</f>
        <v>#N/A</v>
      </c>
      <c r="CU15" s="379" t="e">
        <f>(HLOOKUP($AI15,'Inflation Adjustments'!$B$3:$BT$4,2,TRUE))*CJ15</f>
        <v>#N/A</v>
      </c>
      <c r="CV15" s="379" t="e">
        <f>(HLOOKUP($AI15,'Inflation Adjustments'!$B$3:$BT$4,2,TRUE))*CK15</f>
        <v>#N/A</v>
      </c>
      <c r="CW15" s="379" t="e">
        <f>(HLOOKUP($AI15,'Inflation Adjustments'!$B$3:$BT$4,2,TRUE))*CL15</f>
        <v>#N/A</v>
      </c>
      <c r="CX15" s="379" t="e">
        <f>(HLOOKUP($AI15,'Inflation Adjustments'!$B$3:$BT$4,2,TRUE))*CM15</f>
        <v>#N/A</v>
      </c>
      <c r="CY15" s="379" t="e">
        <f>(HLOOKUP($AI15,'Inflation Adjustments'!$B$3:$BT$4,2,TRUE))*CN15</f>
        <v>#N/A</v>
      </c>
      <c r="CZ15" s="379" t="e">
        <f>(HLOOKUP($AI15,'Inflation Adjustments'!$B$3:$BT$4,2,TRUE))*CO15</f>
        <v>#N/A</v>
      </c>
      <c r="DA15" s="379" t="e">
        <f>(HLOOKUP($AI15,'Inflation Adjustments'!$B$3:$BT$4,2,TRUE))*CP15</f>
        <v>#N/A</v>
      </c>
      <c r="DB15" s="379" t="e">
        <f>(HLOOKUP($AI15,'Inflation Adjustments'!$B$3:$BT$4,2,TRUE))*CQ15</f>
        <v>#N/A</v>
      </c>
      <c r="DC15" s="379" t="e">
        <f t="shared" si="40"/>
        <v>#N/A</v>
      </c>
      <c r="DD15" s="354">
        <f t="shared" si="15"/>
        <v>2022</v>
      </c>
      <c r="DE15" s="378" t="e">
        <f t="shared" si="16"/>
        <v>#N/A</v>
      </c>
      <c r="DF15" s="378" t="e">
        <f t="shared" si="17"/>
        <v>#N/A</v>
      </c>
      <c r="DG15" s="378" t="e">
        <f t="shared" si="18"/>
        <v>#N/A</v>
      </c>
      <c r="DH15" s="378" t="e">
        <f t="shared" si="19"/>
        <v>#N/A</v>
      </c>
      <c r="DI15" s="378" t="e">
        <f t="shared" si="20"/>
        <v>#N/A</v>
      </c>
      <c r="DJ15" s="378" t="e">
        <f t="shared" si="21"/>
        <v>#N/A</v>
      </c>
      <c r="DK15" s="378" t="e">
        <f t="shared" si="22"/>
        <v>#N/A</v>
      </c>
      <c r="DL15" s="378" t="e">
        <f t="shared" si="22"/>
        <v>#N/A</v>
      </c>
      <c r="DM15" s="378" t="e">
        <f t="shared" si="23"/>
        <v>#N/A</v>
      </c>
      <c r="DN15" s="378" t="e">
        <f t="shared" si="24"/>
        <v>#N/A</v>
      </c>
      <c r="DO15" s="380" t="e">
        <f t="shared" si="34"/>
        <v>#N/A</v>
      </c>
      <c r="DP15" s="380" t="e">
        <f t="shared" si="25"/>
        <v>#N/A</v>
      </c>
      <c r="DQ15" s="380" t="e">
        <f t="shared" si="25"/>
        <v>#N/A</v>
      </c>
      <c r="DR15" s="380" t="e">
        <f t="shared" si="25"/>
        <v>#N/A</v>
      </c>
      <c r="DS15" s="380" t="e">
        <f t="shared" si="25"/>
        <v>#N/A</v>
      </c>
      <c r="DT15" s="380" t="e">
        <f t="shared" si="25"/>
        <v>#N/A</v>
      </c>
      <c r="DU15" s="380" t="e">
        <f t="shared" si="25"/>
        <v>#N/A</v>
      </c>
      <c r="DV15" s="380" t="e">
        <f t="shared" si="25"/>
        <v>#N/A</v>
      </c>
      <c r="DW15" s="380" t="e">
        <f t="shared" si="25"/>
        <v>#N/A</v>
      </c>
      <c r="DX15" s="380" t="e">
        <f t="shared" si="25"/>
        <v>#N/A</v>
      </c>
      <c r="DY15" s="380" t="e">
        <f t="shared" si="35"/>
        <v>#N/A</v>
      </c>
      <c r="DZ15" s="378" t="e">
        <f t="shared" si="36"/>
        <v>#N/A</v>
      </c>
      <c r="EA15" s="378" t="e">
        <f t="shared" si="26"/>
        <v>#N/A</v>
      </c>
      <c r="EB15" s="378" t="e">
        <f t="shared" si="26"/>
        <v>#N/A</v>
      </c>
      <c r="EC15" s="378" t="e">
        <f t="shared" si="26"/>
        <v>#N/A</v>
      </c>
      <c r="ED15" s="378" t="e">
        <f t="shared" si="26"/>
        <v>#N/A</v>
      </c>
      <c r="EE15" s="378" t="e">
        <f t="shared" si="26"/>
        <v>#N/A</v>
      </c>
      <c r="EF15" s="378" t="e">
        <f t="shared" si="26"/>
        <v>#N/A</v>
      </c>
      <c r="EG15" s="378" t="e">
        <f t="shared" si="26"/>
        <v>#N/A</v>
      </c>
      <c r="EH15" s="378" t="e">
        <f t="shared" si="26"/>
        <v>#N/A</v>
      </c>
      <c r="EI15" s="378" t="e">
        <f t="shared" si="26"/>
        <v>#N/A</v>
      </c>
      <c r="EJ15" s="354" t="e">
        <f t="shared" si="37"/>
        <v>#N/A</v>
      </c>
      <c r="EK15" s="380" t="e">
        <f t="shared" si="38"/>
        <v>#N/A</v>
      </c>
      <c r="EL15" s="380" t="e">
        <f t="shared" si="27"/>
        <v>#N/A</v>
      </c>
      <c r="EM15" s="380" t="e">
        <f t="shared" si="27"/>
        <v>#N/A</v>
      </c>
      <c r="EN15" s="380" t="e">
        <f t="shared" si="27"/>
        <v>#N/A</v>
      </c>
      <c r="EO15" s="380" t="e">
        <f t="shared" si="27"/>
        <v>#N/A</v>
      </c>
      <c r="EP15" s="380" t="e">
        <f t="shared" si="27"/>
        <v>#N/A</v>
      </c>
      <c r="EQ15" s="380" t="e">
        <f t="shared" si="27"/>
        <v>#N/A</v>
      </c>
      <c r="ER15" s="380" t="e">
        <f t="shared" si="27"/>
        <v>#N/A</v>
      </c>
      <c r="ES15" s="380" t="e">
        <f t="shared" si="27"/>
        <v>#N/A</v>
      </c>
      <c r="ET15" s="380" t="e">
        <f t="shared" si="27"/>
        <v>#N/A</v>
      </c>
      <c r="EU15" s="379" t="e">
        <f t="shared" si="39"/>
        <v>#N/A</v>
      </c>
      <c r="EV15" s="382"/>
      <c r="EW15" s="382"/>
      <c r="EX15" s="382"/>
      <c r="EY15" s="382"/>
      <c r="EZ15" s="382"/>
      <c r="FA15" s="382"/>
      <c r="FB15" s="382"/>
      <c r="FD15" s="583"/>
      <c r="FE15" s="583"/>
      <c r="FF15" s="583"/>
      <c r="FG15" s="583"/>
      <c r="FH15" s="583"/>
    </row>
    <row r="16" spans="1:165" ht="35" customHeight="1" x14ac:dyDescent="0.3">
      <c r="A16" s="330"/>
      <c r="B16" s="318"/>
      <c r="C16" s="318"/>
      <c r="D16" s="318"/>
      <c r="E16" s="318"/>
      <c r="F16" s="318"/>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18"/>
      <c r="AM16" s="317"/>
      <c r="AN16" s="318"/>
      <c r="AO16" s="513"/>
      <c r="AP16" s="513"/>
      <c r="AQ16" s="513"/>
      <c r="AR16" s="513"/>
      <c r="AS16" s="514"/>
      <c r="AT16" s="513"/>
      <c r="AU16" s="318"/>
      <c r="AV16" s="318"/>
      <c r="AW16" s="318"/>
      <c r="AX16" s="318"/>
      <c r="AY16" s="318"/>
      <c r="AZ16" s="318"/>
      <c r="BA16" s="318"/>
      <c r="BB16" s="318"/>
      <c r="BC16" s="318"/>
      <c r="BD16" s="318"/>
      <c r="BE16" s="318"/>
      <c r="BF16" s="318"/>
      <c r="BG16" s="333"/>
      <c r="BH16" s="333"/>
      <c r="BI16" s="333"/>
      <c r="BJ16" s="333"/>
      <c r="BK16" s="333"/>
      <c r="BL16" s="333"/>
      <c r="BM16" s="333"/>
      <c r="BN16" s="333"/>
      <c r="BO16" s="333"/>
      <c r="BP16" s="333"/>
      <c r="BQ16" s="333"/>
      <c r="BR16" s="333"/>
      <c r="BS16" s="333"/>
      <c r="BT16" s="334"/>
      <c r="BU16" s="335"/>
      <c r="BV16" s="255"/>
      <c r="BY16" s="144"/>
      <c r="BZ16" s="144"/>
      <c r="CA16" s="144"/>
      <c r="CB16" s="144"/>
      <c r="CC16" s="144"/>
      <c r="CD16" s="144"/>
      <c r="CE16" s="144"/>
      <c r="CF16" s="144"/>
      <c r="CG16" s="144"/>
      <c r="CH16" s="378" t="e">
        <f t="shared" si="5"/>
        <v>#N/A</v>
      </c>
      <c r="CI16" s="378" t="e">
        <f t="shared" si="6"/>
        <v>#N/A</v>
      </c>
      <c r="CJ16" s="378" t="e">
        <f t="shared" si="7"/>
        <v>#N/A</v>
      </c>
      <c r="CK16" s="378" t="e">
        <f t="shared" si="8"/>
        <v>#N/A</v>
      </c>
      <c r="CL16" s="378" t="e">
        <f t="shared" si="9"/>
        <v>#N/A</v>
      </c>
      <c r="CM16" s="378" t="e">
        <f t="shared" si="10"/>
        <v>#N/A</v>
      </c>
      <c r="CN16" s="378" t="e">
        <f t="shared" si="11"/>
        <v>#N/A</v>
      </c>
      <c r="CO16" s="378" t="e">
        <f t="shared" si="12"/>
        <v>#N/A</v>
      </c>
      <c r="CP16" s="378" t="e">
        <f t="shared" si="13"/>
        <v>#N/A</v>
      </c>
      <c r="CQ16" s="378" t="e">
        <f t="shared" si="14"/>
        <v>#N/A</v>
      </c>
      <c r="CR16" s="354" t="e">
        <f t="shared" si="33"/>
        <v>#N/A</v>
      </c>
      <c r="CS16" s="379" t="e">
        <f>(HLOOKUP($AI16,'Inflation Adjustments'!$B$3:$BT$4,2,TRUE))*CH16</f>
        <v>#N/A</v>
      </c>
      <c r="CT16" s="379" t="e">
        <f>(HLOOKUP($AI16,'Inflation Adjustments'!$B$3:$BT$4,2,TRUE))*CI16</f>
        <v>#N/A</v>
      </c>
      <c r="CU16" s="379" t="e">
        <f>(HLOOKUP($AI16,'Inflation Adjustments'!$B$3:$BT$4,2,TRUE))*CJ16</f>
        <v>#N/A</v>
      </c>
      <c r="CV16" s="379" t="e">
        <f>(HLOOKUP($AI16,'Inflation Adjustments'!$B$3:$BT$4,2,TRUE))*CK16</f>
        <v>#N/A</v>
      </c>
      <c r="CW16" s="379" t="e">
        <f>(HLOOKUP($AI16,'Inflation Adjustments'!$B$3:$BT$4,2,TRUE))*CL16</f>
        <v>#N/A</v>
      </c>
      <c r="CX16" s="379" t="e">
        <f>(HLOOKUP($AI16,'Inflation Adjustments'!$B$3:$BT$4,2,TRUE))*CM16</f>
        <v>#N/A</v>
      </c>
      <c r="CY16" s="379" t="e">
        <f>(HLOOKUP($AI16,'Inflation Adjustments'!$B$3:$BT$4,2,TRUE))*CN16</f>
        <v>#N/A</v>
      </c>
      <c r="CZ16" s="379" t="e">
        <f>(HLOOKUP($AI16,'Inflation Adjustments'!$B$3:$BT$4,2,TRUE))*CO16</f>
        <v>#N/A</v>
      </c>
      <c r="DA16" s="379" t="e">
        <f>(HLOOKUP($AI16,'Inflation Adjustments'!$B$3:$BT$4,2,TRUE))*CP16</f>
        <v>#N/A</v>
      </c>
      <c r="DB16" s="379" t="e">
        <f>(HLOOKUP($AI16,'Inflation Adjustments'!$B$3:$BT$4,2,TRUE))*CQ16</f>
        <v>#N/A</v>
      </c>
      <c r="DC16" s="379" t="e">
        <f t="shared" si="40"/>
        <v>#N/A</v>
      </c>
      <c r="DD16" s="354">
        <f t="shared" si="15"/>
        <v>2022</v>
      </c>
      <c r="DE16" s="378" t="e">
        <f t="shared" si="16"/>
        <v>#N/A</v>
      </c>
      <c r="DF16" s="378" t="e">
        <f t="shared" si="17"/>
        <v>#N/A</v>
      </c>
      <c r="DG16" s="378" t="e">
        <f t="shared" si="18"/>
        <v>#N/A</v>
      </c>
      <c r="DH16" s="378" t="e">
        <f t="shared" si="19"/>
        <v>#N/A</v>
      </c>
      <c r="DI16" s="378" t="e">
        <f t="shared" si="20"/>
        <v>#N/A</v>
      </c>
      <c r="DJ16" s="378" t="e">
        <f t="shared" si="21"/>
        <v>#N/A</v>
      </c>
      <c r="DK16" s="378" t="e">
        <f t="shared" si="22"/>
        <v>#N/A</v>
      </c>
      <c r="DL16" s="378" t="e">
        <f t="shared" si="22"/>
        <v>#N/A</v>
      </c>
      <c r="DM16" s="378" t="e">
        <f t="shared" si="23"/>
        <v>#N/A</v>
      </c>
      <c r="DN16" s="378" t="e">
        <f t="shared" si="24"/>
        <v>#N/A</v>
      </c>
      <c r="DO16" s="380" t="e">
        <f t="shared" si="34"/>
        <v>#N/A</v>
      </c>
      <c r="DP16" s="380" t="e">
        <f t="shared" si="25"/>
        <v>#N/A</v>
      </c>
      <c r="DQ16" s="380" t="e">
        <f t="shared" si="25"/>
        <v>#N/A</v>
      </c>
      <c r="DR16" s="380" t="e">
        <f t="shared" si="25"/>
        <v>#N/A</v>
      </c>
      <c r="DS16" s="380" t="e">
        <f t="shared" si="25"/>
        <v>#N/A</v>
      </c>
      <c r="DT16" s="380" t="e">
        <f t="shared" si="25"/>
        <v>#N/A</v>
      </c>
      <c r="DU16" s="380" t="e">
        <f t="shared" si="25"/>
        <v>#N/A</v>
      </c>
      <c r="DV16" s="380" t="e">
        <f t="shared" si="25"/>
        <v>#N/A</v>
      </c>
      <c r="DW16" s="380" t="e">
        <f t="shared" si="25"/>
        <v>#N/A</v>
      </c>
      <c r="DX16" s="380" t="e">
        <f t="shared" si="25"/>
        <v>#N/A</v>
      </c>
      <c r="DY16" s="380" t="e">
        <f t="shared" si="35"/>
        <v>#N/A</v>
      </c>
      <c r="DZ16" s="378" t="e">
        <f t="shared" si="36"/>
        <v>#N/A</v>
      </c>
      <c r="EA16" s="378" t="e">
        <f t="shared" si="26"/>
        <v>#N/A</v>
      </c>
      <c r="EB16" s="378" t="e">
        <f t="shared" si="26"/>
        <v>#N/A</v>
      </c>
      <c r="EC16" s="378" t="e">
        <f t="shared" si="26"/>
        <v>#N/A</v>
      </c>
      <c r="ED16" s="378" t="e">
        <f t="shared" si="26"/>
        <v>#N/A</v>
      </c>
      <c r="EE16" s="378" t="e">
        <f t="shared" si="26"/>
        <v>#N/A</v>
      </c>
      <c r="EF16" s="378" t="e">
        <f t="shared" si="26"/>
        <v>#N/A</v>
      </c>
      <c r="EG16" s="378" t="e">
        <f t="shared" si="26"/>
        <v>#N/A</v>
      </c>
      <c r="EH16" s="378" t="e">
        <f t="shared" si="26"/>
        <v>#N/A</v>
      </c>
      <c r="EI16" s="378" t="e">
        <f t="shared" si="26"/>
        <v>#N/A</v>
      </c>
      <c r="EJ16" s="354" t="e">
        <f t="shared" si="37"/>
        <v>#N/A</v>
      </c>
      <c r="EK16" s="380" t="e">
        <f t="shared" si="38"/>
        <v>#N/A</v>
      </c>
      <c r="EL16" s="380" t="e">
        <f t="shared" si="27"/>
        <v>#N/A</v>
      </c>
      <c r="EM16" s="380" t="e">
        <f t="shared" si="27"/>
        <v>#N/A</v>
      </c>
      <c r="EN16" s="380" t="e">
        <f t="shared" si="27"/>
        <v>#N/A</v>
      </c>
      <c r="EO16" s="380" t="e">
        <f t="shared" si="27"/>
        <v>#N/A</v>
      </c>
      <c r="EP16" s="380" t="e">
        <f t="shared" si="27"/>
        <v>#N/A</v>
      </c>
      <c r="EQ16" s="380" t="e">
        <f t="shared" si="27"/>
        <v>#N/A</v>
      </c>
      <c r="ER16" s="380" t="e">
        <f t="shared" si="27"/>
        <v>#N/A</v>
      </c>
      <c r="ES16" s="380" t="e">
        <f t="shared" si="27"/>
        <v>#N/A</v>
      </c>
      <c r="ET16" s="380" t="e">
        <f t="shared" si="27"/>
        <v>#N/A</v>
      </c>
      <c r="EU16" s="379" t="e">
        <f t="shared" si="39"/>
        <v>#N/A</v>
      </c>
      <c r="EV16" s="382"/>
      <c r="EW16" s="382"/>
      <c r="EX16" s="382"/>
      <c r="EY16" s="382"/>
      <c r="EZ16" s="382"/>
      <c r="FA16" s="382"/>
      <c r="FB16" s="382"/>
      <c r="FD16" s="582"/>
      <c r="FE16" s="582"/>
      <c r="FF16" s="582"/>
      <c r="FG16" s="582"/>
      <c r="FH16" s="582"/>
    </row>
    <row r="17" spans="1:165" ht="35" customHeight="1" x14ac:dyDescent="0.3">
      <c r="A17" s="330"/>
      <c r="B17" s="318"/>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7"/>
      <c r="AN17" s="318"/>
      <c r="AO17" s="513"/>
      <c r="AP17" s="513"/>
      <c r="AQ17" s="513"/>
      <c r="AR17" s="513"/>
      <c r="AS17" s="514"/>
      <c r="AT17" s="513"/>
      <c r="AU17" s="318"/>
      <c r="AV17" s="318"/>
      <c r="AW17" s="318"/>
      <c r="AX17" s="318"/>
      <c r="AY17" s="318"/>
      <c r="AZ17" s="318"/>
      <c r="BA17" s="318"/>
      <c r="BB17" s="318"/>
      <c r="BC17" s="318"/>
      <c r="BD17" s="318"/>
      <c r="BE17" s="318"/>
      <c r="BF17" s="318"/>
      <c r="BG17" s="333"/>
      <c r="BH17" s="333"/>
      <c r="BI17" s="333"/>
      <c r="BJ17" s="333"/>
      <c r="BK17" s="333"/>
      <c r="BL17" s="333"/>
      <c r="BM17" s="333"/>
      <c r="BN17" s="333"/>
      <c r="BO17" s="333"/>
      <c r="BP17" s="333"/>
      <c r="BQ17" s="333"/>
      <c r="BR17" s="333"/>
      <c r="BS17" s="333"/>
      <c r="BT17" s="334"/>
      <c r="BU17" s="335"/>
      <c r="BV17" s="255"/>
      <c r="BY17" s="144"/>
      <c r="BZ17" s="144"/>
      <c r="CA17" s="144"/>
      <c r="CB17" s="144"/>
      <c r="CC17" s="144"/>
      <c r="CD17" s="144"/>
      <c r="CE17" s="144"/>
      <c r="CF17" s="144"/>
      <c r="CG17" s="144"/>
      <c r="CH17" s="378" t="e">
        <f t="shared" si="5"/>
        <v>#N/A</v>
      </c>
      <c r="CI17" s="378" t="e">
        <f t="shared" si="6"/>
        <v>#N/A</v>
      </c>
      <c r="CJ17" s="378" t="e">
        <f t="shared" si="7"/>
        <v>#N/A</v>
      </c>
      <c r="CK17" s="378" t="e">
        <f t="shared" si="8"/>
        <v>#N/A</v>
      </c>
      <c r="CL17" s="378" t="e">
        <f t="shared" si="9"/>
        <v>#N/A</v>
      </c>
      <c r="CM17" s="378" t="e">
        <f t="shared" si="10"/>
        <v>#N/A</v>
      </c>
      <c r="CN17" s="378" t="e">
        <f t="shared" si="11"/>
        <v>#N/A</v>
      </c>
      <c r="CO17" s="378" t="e">
        <f t="shared" si="12"/>
        <v>#N/A</v>
      </c>
      <c r="CP17" s="378" t="e">
        <f t="shared" si="13"/>
        <v>#N/A</v>
      </c>
      <c r="CQ17" s="378" t="e">
        <f t="shared" si="14"/>
        <v>#N/A</v>
      </c>
      <c r="CR17" s="354" t="e">
        <f t="shared" si="33"/>
        <v>#N/A</v>
      </c>
      <c r="CS17" s="379" t="e">
        <f>(HLOOKUP($AI17,'Inflation Adjustments'!$B$3:$BT$4,2,TRUE))*CH17</f>
        <v>#N/A</v>
      </c>
      <c r="CT17" s="379" t="e">
        <f>(HLOOKUP($AI17,'Inflation Adjustments'!$B$3:$BT$4,2,TRUE))*CI17</f>
        <v>#N/A</v>
      </c>
      <c r="CU17" s="379" t="e">
        <f>(HLOOKUP($AI17,'Inflation Adjustments'!$B$3:$BT$4,2,TRUE))*CJ17</f>
        <v>#N/A</v>
      </c>
      <c r="CV17" s="379" t="e">
        <f>(HLOOKUP($AI17,'Inflation Adjustments'!$B$3:$BT$4,2,TRUE))*CK17</f>
        <v>#N/A</v>
      </c>
      <c r="CW17" s="379" t="e">
        <f>(HLOOKUP($AI17,'Inflation Adjustments'!$B$3:$BT$4,2,TRUE))*CL17</f>
        <v>#N/A</v>
      </c>
      <c r="CX17" s="379" t="e">
        <f>(HLOOKUP($AI17,'Inflation Adjustments'!$B$3:$BT$4,2,TRUE))*CM17</f>
        <v>#N/A</v>
      </c>
      <c r="CY17" s="379" t="e">
        <f>(HLOOKUP($AI17,'Inflation Adjustments'!$B$3:$BT$4,2,TRUE))*CN17</f>
        <v>#N/A</v>
      </c>
      <c r="CZ17" s="379" t="e">
        <f>(HLOOKUP($AI17,'Inflation Adjustments'!$B$3:$BT$4,2,TRUE))*CO17</f>
        <v>#N/A</v>
      </c>
      <c r="DA17" s="379" t="e">
        <f>(HLOOKUP($AI17,'Inflation Adjustments'!$B$3:$BT$4,2,TRUE))*CP17</f>
        <v>#N/A</v>
      </c>
      <c r="DB17" s="379" t="e">
        <f>(HLOOKUP($AI17,'Inflation Adjustments'!$B$3:$BT$4,2,TRUE))*CQ17</f>
        <v>#N/A</v>
      </c>
      <c r="DC17" s="379" t="e">
        <f t="shared" si="40"/>
        <v>#N/A</v>
      </c>
      <c r="DD17" s="354">
        <f t="shared" si="15"/>
        <v>2022</v>
      </c>
      <c r="DE17" s="378" t="e">
        <f t="shared" si="16"/>
        <v>#N/A</v>
      </c>
      <c r="DF17" s="378" t="e">
        <f t="shared" si="17"/>
        <v>#N/A</v>
      </c>
      <c r="DG17" s="378" t="e">
        <f t="shared" si="18"/>
        <v>#N/A</v>
      </c>
      <c r="DH17" s="378" t="e">
        <f t="shared" si="19"/>
        <v>#N/A</v>
      </c>
      <c r="DI17" s="378" t="e">
        <f t="shared" si="20"/>
        <v>#N/A</v>
      </c>
      <c r="DJ17" s="378" t="e">
        <f t="shared" si="21"/>
        <v>#N/A</v>
      </c>
      <c r="DK17" s="378" t="e">
        <f t="shared" si="22"/>
        <v>#N/A</v>
      </c>
      <c r="DL17" s="378" t="e">
        <f t="shared" si="22"/>
        <v>#N/A</v>
      </c>
      <c r="DM17" s="378" t="e">
        <f t="shared" si="23"/>
        <v>#N/A</v>
      </c>
      <c r="DN17" s="378" t="e">
        <f t="shared" si="24"/>
        <v>#N/A</v>
      </c>
      <c r="DO17" s="380" t="e">
        <f t="shared" si="34"/>
        <v>#N/A</v>
      </c>
      <c r="DP17" s="380" t="e">
        <f t="shared" si="25"/>
        <v>#N/A</v>
      </c>
      <c r="DQ17" s="380" t="e">
        <f t="shared" si="25"/>
        <v>#N/A</v>
      </c>
      <c r="DR17" s="380" t="e">
        <f t="shared" si="25"/>
        <v>#N/A</v>
      </c>
      <c r="DS17" s="380" t="e">
        <f t="shared" si="25"/>
        <v>#N/A</v>
      </c>
      <c r="DT17" s="380" t="e">
        <f t="shared" si="25"/>
        <v>#N/A</v>
      </c>
      <c r="DU17" s="380" t="e">
        <f t="shared" si="25"/>
        <v>#N/A</v>
      </c>
      <c r="DV17" s="380" t="e">
        <f t="shared" si="25"/>
        <v>#N/A</v>
      </c>
      <c r="DW17" s="380" t="e">
        <f t="shared" si="25"/>
        <v>#N/A</v>
      </c>
      <c r="DX17" s="380" t="e">
        <f t="shared" si="25"/>
        <v>#N/A</v>
      </c>
      <c r="DY17" s="380" t="e">
        <f t="shared" si="35"/>
        <v>#N/A</v>
      </c>
      <c r="DZ17" s="378" t="e">
        <f t="shared" si="36"/>
        <v>#N/A</v>
      </c>
      <c r="EA17" s="378" t="e">
        <f t="shared" si="26"/>
        <v>#N/A</v>
      </c>
      <c r="EB17" s="378" t="e">
        <f t="shared" si="26"/>
        <v>#N/A</v>
      </c>
      <c r="EC17" s="378" t="e">
        <f t="shared" si="26"/>
        <v>#N/A</v>
      </c>
      <c r="ED17" s="378" t="e">
        <f t="shared" si="26"/>
        <v>#N/A</v>
      </c>
      <c r="EE17" s="378" t="e">
        <f t="shared" si="26"/>
        <v>#N/A</v>
      </c>
      <c r="EF17" s="378" t="e">
        <f t="shared" si="26"/>
        <v>#N/A</v>
      </c>
      <c r="EG17" s="378" t="e">
        <f t="shared" si="26"/>
        <v>#N/A</v>
      </c>
      <c r="EH17" s="378" t="e">
        <f t="shared" si="26"/>
        <v>#N/A</v>
      </c>
      <c r="EI17" s="378" t="e">
        <f t="shared" si="26"/>
        <v>#N/A</v>
      </c>
      <c r="EJ17" s="354" t="e">
        <f t="shared" si="37"/>
        <v>#N/A</v>
      </c>
      <c r="EK17" s="380" t="e">
        <f t="shared" si="38"/>
        <v>#N/A</v>
      </c>
      <c r="EL17" s="380" t="e">
        <f t="shared" si="27"/>
        <v>#N/A</v>
      </c>
      <c r="EM17" s="380" t="e">
        <f t="shared" si="27"/>
        <v>#N/A</v>
      </c>
      <c r="EN17" s="380" t="e">
        <f t="shared" si="27"/>
        <v>#N/A</v>
      </c>
      <c r="EO17" s="380" t="e">
        <f t="shared" si="27"/>
        <v>#N/A</v>
      </c>
      <c r="EP17" s="380" t="e">
        <f t="shared" si="27"/>
        <v>#N/A</v>
      </c>
      <c r="EQ17" s="380" t="e">
        <f t="shared" si="27"/>
        <v>#N/A</v>
      </c>
      <c r="ER17" s="380" t="e">
        <f t="shared" si="27"/>
        <v>#N/A</v>
      </c>
      <c r="ES17" s="380" t="e">
        <f t="shared" si="27"/>
        <v>#N/A</v>
      </c>
      <c r="ET17" s="380" t="e">
        <f t="shared" si="27"/>
        <v>#N/A</v>
      </c>
      <c r="EU17" s="379" t="e">
        <f t="shared" si="39"/>
        <v>#N/A</v>
      </c>
      <c r="EV17" s="382"/>
      <c r="EW17" s="382"/>
      <c r="EX17" s="382"/>
      <c r="EY17" s="382"/>
      <c r="EZ17" s="382"/>
      <c r="FA17" s="382"/>
      <c r="FB17" s="382"/>
      <c r="FE17" s="582"/>
      <c r="FF17" s="582"/>
      <c r="FG17" s="582"/>
      <c r="FH17" s="582"/>
      <c r="FI17" s="582"/>
    </row>
    <row r="18" spans="1:165" ht="35" customHeight="1" x14ac:dyDescent="0.3">
      <c r="A18" s="330"/>
      <c r="B18" s="318"/>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7"/>
      <c r="AN18" s="318"/>
      <c r="AO18" s="513"/>
      <c r="AP18" s="513"/>
      <c r="AQ18" s="513"/>
      <c r="AR18" s="513"/>
      <c r="AS18" s="514"/>
      <c r="AT18" s="513"/>
      <c r="AU18" s="318"/>
      <c r="AV18" s="318"/>
      <c r="AW18" s="318"/>
      <c r="AX18" s="318"/>
      <c r="AY18" s="318"/>
      <c r="AZ18" s="318"/>
      <c r="BA18" s="318"/>
      <c r="BB18" s="318"/>
      <c r="BC18" s="318"/>
      <c r="BD18" s="318"/>
      <c r="BE18" s="318"/>
      <c r="BF18" s="318"/>
      <c r="BG18" s="333"/>
      <c r="BH18" s="333"/>
      <c r="BI18" s="333"/>
      <c r="BJ18" s="333"/>
      <c r="BK18" s="333"/>
      <c r="BL18" s="333"/>
      <c r="BM18" s="333"/>
      <c r="BN18" s="333"/>
      <c r="BO18" s="333"/>
      <c r="BP18" s="333"/>
      <c r="BQ18" s="333"/>
      <c r="BR18" s="333"/>
      <c r="BS18" s="333"/>
      <c r="BT18" s="334"/>
      <c r="BU18" s="335"/>
      <c r="BV18" s="255"/>
      <c r="BY18" s="144"/>
      <c r="BZ18" s="144"/>
      <c r="CA18" s="144"/>
      <c r="CB18" s="144"/>
      <c r="CC18" s="144"/>
      <c r="CD18" s="144"/>
      <c r="CE18" s="144"/>
      <c r="CF18" s="144"/>
      <c r="CG18" s="144"/>
      <c r="CH18" s="378" t="e">
        <f t="shared" si="5"/>
        <v>#N/A</v>
      </c>
      <c r="CI18" s="378" t="e">
        <f t="shared" si="6"/>
        <v>#N/A</v>
      </c>
      <c r="CJ18" s="378" t="e">
        <f t="shared" si="7"/>
        <v>#N/A</v>
      </c>
      <c r="CK18" s="378" t="e">
        <f t="shared" si="8"/>
        <v>#N/A</v>
      </c>
      <c r="CL18" s="378" t="e">
        <f t="shared" si="9"/>
        <v>#N/A</v>
      </c>
      <c r="CM18" s="378" t="e">
        <f t="shared" si="10"/>
        <v>#N/A</v>
      </c>
      <c r="CN18" s="378" t="e">
        <f t="shared" si="11"/>
        <v>#N/A</v>
      </c>
      <c r="CO18" s="378" t="e">
        <f t="shared" si="12"/>
        <v>#N/A</v>
      </c>
      <c r="CP18" s="378" t="e">
        <f t="shared" si="13"/>
        <v>#N/A</v>
      </c>
      <c r="CQ18" s="378" t="e">
        <f t="shared" si="14"/>
        <v>#N/A</v>
      </c>
      <c r="CR18" s="354" t="e">
        <f t="shared" si="33"/>
        <v>#N/A</v>
      </c>
      <c r="CS18" s="379" t="e">
        <f>(HLOOKUP($AI18,'Inflation Adjustments'!$B$3:$BT$4,2,TRUE))*CH18</f>
        <v>#N/A</v>
      </c>
      <c r="CT18" s="379" t="e">
        <f>(HLOOKUP($AI18,'Inflation Adjustments'!$B$3:$BT$4,2,TRUE))*CI18</f>
        <v>#N/A</v>
      </c>
      <c r="CU18" s="379" t="e">
        <f>(HLOOKUP($AI18,'Inflation Adjustments'!$B$3:$BT$4,2,TRUE))*CJ18</f>
        <v>#N/A</v>
      </c>
      <c r="CV18" s="379" t="e">
        <f>(HLOOKUP($AI18,'Inflation Adjustments'!$B$3:$BT$4,2,TRUE))*CK18</f>
        <v>#N/A</v>
      </c>
      <c r="CW18" s="379" t="e">
        <f>(HLOOKUP($AI18,'Inflation Adjustments'!$B$3:$BT$4,2,TRUE))*CL18</f>
        <v>#N/A</v>
      </c>
      <c r="CX18" s="379" t="e">
        <f>(HLOOKUP($AI18,'Inflation Adjustments'!$B$3:$BT$4,2,TRUE))*CM18</f>
        <v>#N/A</v>
      </c>
      <c r="CY18" s="379" t="e">
        <f>(HLOOKUP($AI18,'Inflation Adjustments'!$B$3:$BT$4,2,TRUE))*CN18</f>
        <v>#N/A</v>
      </c>
      <c r="CZ18" s="379" t="e">
        <f>(HLOOKUP($AI18,'Inflation Adjustments'!$B$3:$BT$4,2,TRUE))*CO18</f>
        <v>#N/A</v>
      </c>
      <c r="DA18" s="379" t="e">
        <f>(HLOOKUP($AI18,'Inflation Adjustments'!$B$3:$BT$4,2,TRUE))*CP18</f>
        <v>#N/A</v>
      </c>
      <c r="DB18" s="379" t="e">
        <f>(HLOOKUP($AI18,'Inflation Adjustments'!$B$3:$BT$4,2,TRUE))*CQ18</f>
        <v>#N/A</v>
      </c>
      <c r="DC18" s="379" t="e">
        <f t="shared" si="40"/>
        <v>#N/A</v>
      </c>
      <c r="DD18" s="354">
        <f t="shared" si="15"/>
        <v>2022</v>
      </c>
      <c r="DE18" s="378" t="e">
        <f t="shared" si="16"/>
        <v>#N/A</v>
      </c>
      <c r="DF18" s="378" t="e">
        <f t="shared" si="17"/>
        <v>#N/A</v>
      </c>
      <c r="DG18" s="378" t="e">
        <f t="shared" si="18"/>
        <v>#N/A</v>
      </c>
      <c r="DH18" s="378" t="e">
        <f t="shared" si="19"/>
        <v>#N/A</v>
      </c>
      <c r="DI18" s="378" t="e">
        <f t="shared" si="20"/>
        <v>#N/A</v>
      </c>
      <c r="DJ18" s="378" t="e">
        <f t="shared" si="21"/>
        <v>#N/A</v>
      </c>
      <c r="DK18" s="378" t="e">
        <f t="shared" si="22"/>
        <v>#N/A</v>
      </c>
      <c r="DL18" s="378" t="e">
        <f t="shared" si="22"/>
        <v>#N/A</v>
      </c>
      <c r="DM18" s="378" t="e">
        <f t="shared" si="23"/>
        <v>#N/A</v>
      </c>
      <c r="DN18" s="378" t="e">
        <f t="shared" si="24"/>
        <v>#N/A</v>
      </c>
      <c r="DO18" s="380" t="e">
        <f t="shared" si="34"/>
        <v>#N/A</v>
      </c>
      <c r="DP18" s="380" t="e">
        <f t="shared" si="25"/>
        <v>#N/A</v>
      </c>
      <c r="DQ18" s="380" t="e">
        <f t="shared" si="25"/>
        <v>#N/A</v>
      </c>
      <c r="DR18" s="380" t="e">
        <f t="shared" si="25"/>
        <v>#N/A</v>
      </c>
      <c r="DS18" s="380" t="e">
        <f t="shared" si="25"/>
        <v>#N/A</v>
      </c>
      <c r="DT18" s="380" t="e">
        <f t="shared" si="25"/>
        <v>#N/A</v>
      </c>
      <c r="DU18" s="380" t="e">
        <f t="shared" si="25"/>
        <v>#N/A</v>
      </c>
      <c r="DV18" s="380" t="e">
        <f t="shared" si="25"/>
        <v>#N/A</v>
      </c>
      <c r="DW18" s="380" t="e">
        <f t="shared" si="25"/>
        <v>#N/A</v>
      </c>
      <c r="DX18" s="380" t="e">
        <f t="shared" si="25"/>
        <v>#N/A</v>
      </c>
      <c r="DY18" s="380" t="e">
        <f t="shared" si="35"/>
        <v>#N/A</v>
      </c>
      <c r="DZ18" s="378" t="e">
        <f t="shared" si="36"/>
        <v>#N/A</v>
      </c>
      <c r="EA18" s="378" t="e">
        <f t="shared" si="26"/>
        <v>#N/A</v>
      </c>
      <c r="EB18" s="378" t="e">
        <f t="shared" si="26"/>
        <v>#N/A</v>
      </c>
      <c r="EC18" s="378" t="e">
        <f t="shared" si="26"/>
        <v>#N/A</v>
      </c>
      <c r="ED18" s="378" t="e">
        <f t="shared" si="26"/>
        <v>#N/A</v>
      </c>
      <c r="EE18" s="378" t="e">
        <f t="shared" si="26"/>
        <v>#N/A</v>
      </c>
      <c r="EF18" s="378" t="e">
        <f t="shared" si="26"/>
        <v>#N/A</v>
      </c>
      <c r="EG18" s="378" t="e">
        <f t="shared" si="26"/>
        <v>#N/A</v>
      </c>
      <c r="EH18" s="378" t="e">
        <f t="shared" si="26"/>
        <v>#N/A</v>
      </c>
      <c r="EI18" s="378" t="e">
        <f t="shared" si="26"/>
        <v>#N/A</v>
      </c>
      <c r="EJ18" s="354" t="e">
        <f t="shared" si="37"/>
        <v>#N/A</v>
      </c>
      <c r="EK18" s="380" t="e">
        <f t="shared" si="38"/>
        <v>#N/A</v>
      </c>
      <c r="EL18" s="380" t="e">
        <f t="shared" si="27"/>
        <v>#N/A</v>
      </c>
      <c r="EM18" s="380" t="e">
        <f t="shared" si="27"/>
        <v>#N/A</v>
      </c>
      <c r="EN18" s="380" t="e">
        <f t="shared" si="27"/>
        <v>#N/A</v>
      </c>
      <c r="EO18" s="380" t="e">
        <f t="shared" si="27"/>
        <v>#N/A</v>
      </c>
      <c r="EP18" s="380" t="e">
        <f t="shared" si="27"/>
        <v>#N/A</v>
      </c>
      <c r="EQ18" s="380" t="e">
        <f t="shared" si="27"/>
        <v>#N/A</v>
      </c>
      <c r="ER18" s="380" t="e">
        <f t="shared" si="27"/>
        <v>#N/A</v>
      </c>
      <c r="ES18" s="380" t="e">
        <f t="shared" si="27"/>
        <v>#N/A</v>
      </c>
      <c r="ET18" s="380" t="e">
        <f t="shared" si="27"/>
        <v>#N/A</v>
      </c>
      <c r="EU18" s="379" t="e">
        <f t="shared" si="39"/>
        <v>#N/A</v>
      </c>
      <c r="EV18" s="382"/>
      <c r="EW18" s="382"/>
      <c r="EX18" s="382"/>
      <c r="EY18" s="382"/>
      <c r="EZ18" s="382"/>
      <c r="FA18" s="382"/>
      <c r="FB18" s="382"/>
      <c r="FE18" s="582"/>
      <c r="FF18" s="582"/>
      <c r="FG18" s="582"/>
      <c r="FH18" s="582"/>
    </row>
    <row r="19" spans="1:165" ht="35" customHeight="1" x14ac:dyDescent="0.3">
      <c r="A19" s="330"/>
      <c r="B19" s="318"/>
      <c r="C19" s="318"/>
      <c r="D19" s="318"/>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7"/>
      <c r="AN19" s="318"/>
      <c r="AO19" s="513"/>
      <c r="AP19" s="513"/>
      <c r="AQ19" s="513"/>
      <c r="AR19" s="513"/>
      <c r="AS19" s="514"/>
      <c r="AT19" s="513"/>
      <c r="AU19" s="318"/>
      <c r="AV19" s="318"/>
      <c r="AW19" s="318"/>
      <c r="AX19" s="318"/>
      <c r="AY19" s="318"/>
      <c r="AZ19" s="318"/>
      <c r="BA19" s="318"/>
      <c r="BB19" s="318"/>
      <c r="BC19" s="318"/>
      <c r="BD19" s="318"/>
      <c r="BE19" s="318"/>
      <c r="BF19" s="318"/>
      <c r="BG19" s="333"/>
      <c r="BH19" s="333"/>
      <c r="BI19" s="333"/>
      <c r="BJ19" s="333"/>
      <c r="BK19" s="333"/>
      <c r="BL19" s="333"/>
      <c r="BM19" s="333"/>
      <c r="BN19" s="333"/>
      <c r="BO19" s="333"/>
      <c r="BP19" s="333"/>
      <c r="BQ19" s="333"/>
      <c r="BR19" s="333"/>
      <c r="BS19" s="333"/>
      <c r="BT19" s="334"/>
      <c r="BU19" s="335"/>
      <c r="BV19" s="255"/>
      <c r="BW19" s="361"/>
      <c r="BY19" s="144"/>
      <c r="BZ19" s="144"/>
      <c r="CA19" s="144"/>
      <c r="CB19" s="144"/>
      <c r="CC19" s="144"/>
      <c r="CD19" s="144"/>
      <c r="CE19" s="144"/>
      <c r="CF19" s="144"/>
      <c r="CG19" s="144"/>
      <c r="CH19" s="378" t="e">
        <f t="shared" si="5"/>
        <v>#N/A</v>
      </c>
      <c r="CI19" s="378" t="e">
        <f t="shared" si="6"/>
        <v>#N/A</v>
      </c>
      <c r="CJ19" s="378" t="e">
        <f t="shared" si="7"/>
        <v>#N/A</v>
      </c>
      <c r="CK19" s="378" t="e">
        <f t="shared" si="8"/>
        <v>#N/A</v>
      </c>
      <c r="CL19" s="378" t="e">
        <f t="shared" si="9"/>
        <v>#N/A</v>
      </c>
      <c r="CM19" s="378" t="e">
        <f t="shared" si="10"/>
        <v>#N/A</v>
      </c>
      <c r="CN19" s="378" t="e">
        <f t="shared" si="11"/>
        <v>#N/A</v>
      </c>
      <c r="CO19" s="378" t="e">
        <f t="shared" si="12"/>
        <v>#N/A</v>
      </c>
      <c r="CP19" s="378" t="e">
        <f t="shared" si="13"/>
        <v>#N/A</v>
      </c>
      <c r="CQ19" s="378" t="e">
        <f t="shared" si="14"/>
        <v>#N/A</v>
      </c>
      <c r="CR19" s="354" t="e">
        <f t="shared" si="33"/>
        <v>#N/A</v>
      </c>
      <c r="CS19" s="379" t="e">
        <f>(HLOOKUP($AI19,'Inflation Adjustments'!$B$3:$BT$4,2,TRUE))*CH19</f>
        <v>#N/A</v>
      </c>
      <c r="CT19" s="379" t="e">
        <f>(HLOOKUP($AI19,'Inflation Adjustments'!$B$3:$BT$4,2,TRUE))*CI19</f>
        <v>#N/A</v>
      </c>
      <c r="CU19" s="379" t="e">
        <f>(HLOOKUP($AI19,'Inflation Adjustments'!$B$3:$BT$4,2,TRUE))*CJ19</f>
        <v>#N/A</v>
      </c>
      <c r="CV19" s="379" t="e">
        <f>(HLOOKUP($AI19,'Inflation Adjustments'!$B$3:$BT$4,2,TRUE))*CK19</f>
        <v>#N/A</v>
      </c>
      <c r="CW19" s="379" t="e">
        <f>(HLOOKUP($AI19,'Inflation Adjustments'!$B$3:$BT$4,2,TRUE))*CL19</f>
        <v>#N/A</v>
      </c>
      <c r="CX19" s="379" t="e">
        <f>(HLOOKUP($AI19,'Inflation Adjustments'!$B$3:$BT$4,2,TRUE))*CM19</f>
        <v>#N/A</v>
      </c>
      <c r="CY19" s="379" t="e">
        <f>(HLOOKUP($AI19,'Inflation Adjustments'!$B$3:$BT$4,2,TRUE))*CN19</f>
        <v>#N/A</v>
      </c>
      <c r="CZ19" s="379" t="e">
        <f>(HLOOKUP($AI19,'Inflation Adjustments'!$B$3:$BT$4,2,TRUE))*CO19</f>
        <v>#N/A</v>
      </c>
      <c r="DA19" s="379" t="e">
        <f>(HLOOKUP($AI19,'Inflation Adjustments'!$B$3:$BT$4,2,TRUE))*CP19</f>
        <v>#N/A</v>
      </c>
      <c r="DB19" s="379" t="e">
        <f>(HLOOKUP($AI19,'Inflation Adjustments'!$B$3:$BT$4,2,TRUE))*CQ19</f>
        <v>#N/A</v>
      </c>
      <c r="DC19" s="379" t="e">
        <f t="shared" si="40"/>
        <v>#N/A</v>
      </c>
      <c r="DD19" s="354">
        <f t="shared" si="15"/>
        <v>2022</v>
      </c>
      <c r="DE19" s="378" t="e">
        <f t="shared" si="16"/>
        <v>#N/A</v>
      </c>
      <c r="DF19" s="378" t="e">
        <f t="shared" si="17"/>
        <v>#N/A</v>
      </c>
      <c r="DG19" s="378" t="e">
        <f t="shared" si="18"/>
        <v>#N/A</v>
      </c>
      <c r="DH19" s="378" t="e">
        <f t="shared" si="19"/>
        <v>#N/A</v>
      </c>
      <c r="DI19" s="378" t="e">
        <f t="shared" si="20"/>
        <v>#N/A</v>
      </c>
      <c r="DJ19" s="378" t="e">
        <f t="shared" si="21"/>
        <v>#N/A</v>
      </c>
      <c r="DK19" s="378" t="e">
        <f t="shared" si="22"/>
        <v>#N/A</v>
      </c>
      <c r="DL19" s="378" t="e">
        <f t="shared" si="22"/>
        <v>#N/A</v>
      </c>
      <c r="DM19" s="378" t="e">
        <f t="shared" si="23"/>
        <v>#N/A</v>
      </c>
      <c r="DN19" s="378" t="e">
        <f t="shared" si="24"/>
        <v>#N/A</v>
      </c>
      <c r="DO19" s="380" t="e">
        <f t="shared" si="34"/>
        <v>#N/A</v>
      </c>
      <c r="DP19" s="380" t="e">
        <f t="shared" si="25"/>
        <v>#N/A</v>
      </c>
      <c r="DQ19" s="380" t="e">
        <f t="shared" si="25"/>
        <v>#N/A</v>
      </c>
      <c r="DR19" s="380" t="e">
        <f t="shared" si="25"/>
        <v>#N/A</v>
      </c>
      <c r="DS19" s="380" t="e">
        <f t="shared" si="25"/>
        <v>#N/A</v>
      </c>
      <c r="DT19" s="380" t="e">
        <f t="shared" si="25"/>
        <v>#N/A</v>
      </c>
      <c r="DU19" s="380" t="e">
        <f t="shared" si="25"/>
        <v>#N/A</v>
      </c>
      <c r="DV19" s="380" t="e">
        <f t="shared" si="25"/>
        <v>#N/A</v>
      </c>
      <c r="DW19" s="380" t="e">
        <f t="shared" si="25"/>
        <v>#N/A</v>
      </c>
      <c r="DX19" s="380" t="e">
        <f t="shared" si="25"/>
        <v>#N/A</v>
      </c>
      <c r="DY19" s="380" t="e">
        <f t="shared" si="35"/>
        <v>#N/A</v>
      </c>
      <c r="DZ19" s="378" t="e">
        <f t="shared" si="36"/>
        <v>#N/A</v>
      </c>
      <c r="EA19" s="378" t="e">
        <f t="shared" si="26"/>
        <v>#N/A</v>
      </c>
      <c r="EB19" s="378" t="e">
        <f t="shared" si="26"/>
        <v>#N/A</v>
      </c>
      <c r="EC19" s="378" t="e">
        <f t="shared" si="26"/>
        <v>#N/A</v>
      </c>
      <c r="ED19" s="378" t="e">
        <f t="shared" si="26"/>
        <v>#N/A</v>
      </c>
      <c r="EE19" s="378" t="e">
        <f t="shared" si="26"/>
        <v>#N/A</v>
      </c>
      <c r="EF19" s="378" t="e">
        <f t="shared" si="26"/>
        <v>#N/A</v>
      </c>
      <c r="EG19" s="378" t="e">
        <f t="shared" si="26"/>
        <v>#N/A</v>
      </c>
      <c r="EH19" s="378" t="e">
        <f t="shared" si="26"/>
        <v>#N/A</v>
      </c>
      <c r="EI19" s="378" t="e">
        <f t="shared" si="26"/>
        <v>#N/A</v>
      </c>
      <c r="EJ19" s="354" t="e">
        <f t="shared" si="37"/>
        <v>#N/A</v>
      </c>
      <c r="EK19" s="380" t="e">
        <f t="shared" si="38"/>
        <v>#N/A</v>
      </c>
      <c r="EL19" s="380" t="e">
        <f t="shared" si="27"/>
        <v>#N/A</v>
      </c>
      <c r="EM19" s="380" t="e">
        <f t="shared" si="27"/>
        <v>#N/A</v>
      </c>
      <c r="EN19" s="380" t="e">
        <f t="shared" si="27"/>
        <v>#N/A</v>
      </c>
      <c r="EO19" s="380" t="e">
        <f t="shared" si="27"/>
        <v>#N/A</v>
      </c>
      <c r="EP19" s="380" t="e">
        <f t="shared" si="27"/>
        <v>#N/A</v>
      </c>
      <c r="EQ19" s="380" t="e">
        <f t="shared" si="27"/>
        <v>#N/A</v>
      </c>
      <c r="ER19" s="380" t="e">
        <f t="shared" si="27"/>
        <v>#N/A</v>
      </c>
      <c r="ES19" s="380" t="e">
        <f t="shared" si="27"/>
        <v>#N/A</v>
      </c>
      <c r="ET19" s="380" t="e">
        <f t="shared" si="27"/>
        <v>#N/A</v>
      </c>
      <c r="EU19" s="379" t="e">
        <f t="shared" si="39"/>
        <v>#N/A</v>
      </c>
      <c r="EV19" s="382"/>
      <c r="EW19" s="382"/>
      <c r="EX19" s="382"/>
      <c r="EY19" s="382"/>
      <c r="EZ19" s="382"/>
      <c r="FA19" s="382"/>
      <c r="FB19" s="382"/>
      <c r="FE19" s="582"/>
      <c r="FF19" s="582"/>
      <c r="FG19" s="582"/>
      <c r="FH19" s="582"/>
    </row>
    <row r="20" spans="1:165" ht="35" customHeight="1" x14ac:dyDescent="0.3">
      <c r="A20" s="330"/>
      <c r="B20" s="318"/>
      <c r="C20" s="318"/>
      <c r="D20" s="318"/>
      <c r="E20" s="318"/>
      <c r="F20" s="318"/>
      <c r="G20" s="318"/>
      <c r="H20" s="318"/>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18"/>
      <c r="AI20" s="318"/>
      <c r="AJ20" s="318"/>
      <c r="AK20" s="318"/>
      <c r="AL20" s="318"/>
      <c r="AM20" s="317"/>
      <c r="AN20" s="318"/>
      <c r="AO20" s="513"/>
      <c r="AP20" s="513"/>
      <c r="AQ20" s="513"/>
      <c r="AR20" s="513"/>
      <c r="AS20" s="514"/>
      <c r="AT20" s="513"/>
      <c r="AU20" s="318"/>
      <c r="AV20" s="318"/>
      <c r="AW20" s="318"/>
      <c r="AX20" s="318"/>
      <c r="AY20" s="318"/>
      <c r="AZ20" s="318"/>
      <c r="BA20" s="318"/>
      <c r="BB20" s="318"/>
      <c r="BC20" s="318"/>
      <c r="BD20" s="318"/>
      <c r="BE20" s="318"/>
      <c r="BF20" s="318"/>
      <c r="BG20" s="333"/>
      <c r="BH20" s="333"/>
      <c r="BI20" s="333"/>
      <c r="BJ20" s="333"/>
      <c r="BK20" s="333"/>
      <c r="BL20" s="333"/>
      <c r="BM20" s="333"/>
      <c r="BN20" s="333"/>
      <c r="BO20" s="333"/>
      <c r="BP20" s="333"/>
      <c r="BQ20" s="333"/>
      <c r="BR20" s="333"/>
      <c r="BS20" s="333"/>
      <c r="BT20" s="334"/>
      <c r="BU20" s="335"/>
      <c r="BV20" s="255"/>
      <c r="BY20" s="144"/>
      <c r="BZ20" s="144"/>
      <c r="CA20" s="144"/>
      <c r="CB20" s="144"/>
      <c r="CC20" s="144"/>
      <c r="CD20" s="144"/>
      <c r="CE20" s="144"/>
      <c r="CF20" s="144"/>
      <c r="CG20" s="144"/>
      <c r="CH20" s="378" t="e">
        <f t="shared" si="5"/>
        <v>#N/A</v>
      </c>
      <c r="CI20" s="378" t="e">
        <f t="shared" si="6"/>
        <v>#N/A</v>
      </c>
      <c r="CJ20" s="378" t="e">
        <f t="shared" si="7"/>
        <v>#N/A</v>
      </c>
      <c r="CK20" s="378" t="e">
        <f t="shared" si="8"/>
        <v>#N/A</v>
      </c>
      <c r="CL20" s="378" t="e">
        <f t="shared" si="9"/>
        <v>#N/A</v>
      </c>
      <c r="CM20" s="378" t="e">
        <f t="shared" si="10"/>
        <v>#N/A</v>
      </c>
      <c r="CN20" s="378" t="e">
        <f t="shared" si="11"/>
        <v>#N/A</v>
      </c>
      <c r="CO20" s="378" t="e">
        <f t="shared" si="12"/>
        <v>#N/A</v>
      </c>
      <c r="CP20" s="378" t="e">
        <f t="shared" si="13"/>
        <v>#N/A</v>
      </c>
      <c r="CQ20" s="378" t="e">
        <f t="shared" si="14"/>
        <v>#N/A</v>
      </c>
      <c r="CR20" s="354" t="e">
        <f t="shared" si="33"/>
        <v>#N/A</v>
      </c>
      <c r="CS20" s="379" t="e">
        <f>(HLOOKUP($AI20,'Inflation Adjustments'!$B$3:$BT$4,2,TRUE))*CH20</f>
        <v>#N/A</v>
      </c>
      <c r="CT20" s="379" t="e">
        <f>(HLOOKUP($AI20,'Inflation Adjustments'!$B$3:$BT$4,2,TRUE))*CI20</f>
        <v>#N/A</v>
      </c>
      <c r="CU20" s="379" t="e">
        <f>(HLOOKUP($AI20,'Inflation Adjustments'!$B$3:$BT$4,2,TRUE))*CJ20</f>
        <v>#N/A</v>
      </c>
      <c r="CV20" s="379" t="e">
        <f>(HLOOKUP($AI20,'Inflation Adjustments'!$B$3:$BT$4,2,TRUE))*CK20</f>
        <v>#N/A</v>
      </c>
      <c r="CW20" s="379" t="e">
        <f>(HLOOKUP($AI20,'Inflation Adjustments'!$B$3:$BT$4,2,TRUE))*CL20</f>
        <v>#N/A</v>
      </c>
      <c r="CX20" s="379" t="e">
        <f>(HLOOKUP($AI20,'Inflation Adjustments'!$B$3:$BT$4,2,TRUE))*CM20</f>
        <v>#N/A</v>
      </c>
      <c r="CY20" s="379" t="e">
        <f>(HLOOKUP($AI20,'Inflation Adjustments'!$B$3:$BT$4,2,TRUE))*CN20</f>
        <v>#N/A</v>
      </c>
      <c r="CZ20" s="379" t="e">
        <f>(HLOOKUP($AI20,'Inflation Adjustments'!$B$3:$BT$4,2,TRUE))*CO20</f>
        <v>#N/A</v>
      </c>
      <c r="DA20" s="379" t="e">
        <f>(HLOOKUP($AI20,'Inflation Adjustments'!$B$3:$BT$4,2,TRUE))*CP20</f>
        <v>#N/A</v>
      </c>
      <c r="DB20" s="379" t="e">
        <f>(HLOOKUP($AI20,'Inflation Adjustments'!$B$3:$BT$4,2,TRUE))*CQ20</f>
        <v>#N/A</v>
      </c>
      <c r="DC20" s="379" t="e">
        <f t="shared" si="40"/>
        <v>#N/A</v>
      </c>
      <c r="DD20" s="354">
        <f t="shared" si="15"/>
        <v>2022</v>
      </c>
      <c r="DE20" s="378" t="e">
        <f t="shared" si="16"/>
        <v>#N/A</v>
      </c>
      <c r="DF20" s="378" t="e">
        <f t="shared" si="17"/>
        <v>#N/A</v>
      </c>
      <c r="DG20" s="378" t="e">
        <f t="shared" si="18"/>
        <v>#N/A</v>
      </c>
      <c r="DH20" s="378" t="e">
        <f t="shared" si="19"/>
        <v>#N/A</v>
      </c>
      <c r="DI20" s="378" t="e">
        <f t="shared" si="20"/>
        <v>#N/A</v>
      </c>
      <c r="DJ20" s="378" t="e">
        <f t="shared" si="21"/>
        <v>#N/A</v>
      </c>
      <c r="DK20" s="378" t="e">
        <f t="shared" si="22"/>
        <v>#N/A</v>
      </c>
      <c r="DL20" s="378" t="e">
        <f t="shared" si="22"/>
        <v>#N/A</v>
      </c>
      <c r="DM20" s="378" t="e">
        <f t="shared" si="23"/>
        <v>#N/A</v>
      </c>
      <c r="DN20" s="378" t="e">
        <f t="shared" si="24"/>
        <v>#N/A</v>
      </c>
      <c r="DO20" s="380" t="e">
        <f t="shared" si="34"/>
        <v>#N/A</v>
      </c>
      <c r="DP20" s="380" t="e">
        <f t="shared" si="25"/>
        <v>#N/A</v>
      </c>
      <c r="DQ20" s="380" t="e">
        <f t="shared" si="25"/>
        <v>#N/A</v>
      </c>
      <c r="DR20" s="380" t="e">
        <f t="shared" si="25"/>
        <v>#N/A</v>
      </c>
      <c r="DS20" s="380" t="e">
        <f t="shared" si="25"/>
        <v>#N/A</v>
      </c>
      <c r="DT20" s="380" t="e">
        <f t="shared" si="25"/>
        <v>#N/A</v>
      </c>
      <c r="DU20" s="380" t="e">
        <f t="shared" si="25"/>
        <v>#N/A</v>
      </c>
      <c r="DV20" s="380" t="e">
        <f t="shared" si="25"/>
        <v>#N/A</v>
      </c>
      <c r="DW20" s="380" t="e">
        <f t="shared" si="25"/>
        <v>#N/A</v>
      </c>
      <c r="DX20" s="380" t="e">
        <f t="shared" si="25"/>
        <v>#N/A</v>
      </c>
      <c r="DY20" s="380" t="e">
        <f t="shared" si="35"/>
        <v>#N/A</v>
      </c>
      <c r="DZ20" s="378" t="e">
        <f t="shared" si="36"/>
        <v>#N/A</v>
      </c>
      <c r="EA20" s="378" t="e">
        <f t="shared" si="26"/>
        <v>#N/A</v>
      </c>
      <c r="EB20" s="378" t="e">
        <f t="shared" si="26"/>
        <v>#N/A</v>
      </c>
      <c r="EC20" s="378" t="e">
        <f t="shared" si="26"/>
        <v>#N/A</v>
      </c>
      <c r="ED20" s="378" t="e">
        <f t="shared" si="26"/>
        <v>#N/A</v>
      </c>
      <c r="EE20" s="378" t="e">
        <f t="shared" si="26"/>
        <v>#N/A</v>
      </c>
      <c r="EF20" s="378" t="e">
        <f t="shared" si="26"/>
        <v>#N/A</v>
      </c>
      <c r="EG20" s="378" t="e">
        <f t="shared" si="26"/>
        <v>#N/A</v>
      </c>
      <c r="EH20" s="378" t="e">
        <f t="shared" si="26"/>
        <v>#N/A</v>
      </c>
      <c r="EI20" s="378" t="e">
        <f t="shared" si="26"/>
        <v>#N/A</v>
      </c>
      <c r="EJ20" s="354" t="e">
        <f t="shared" si="37"/>
        <v>#N/A</v>
      </c>
      <c r="EK20" s="380" t="e">
        <f t="shared" si="38"/>
        <v>#N/A</v>
      </c>
      <c r="EL20" s="380" t="e">
        <f t="shared" si="27"/>
        <v>#N/A</v>
      </c>
      <c r="EM20" s="380" t="e">
        <f t="shared" si="27"/>
        <v>#N/A</v>
      </c>
      <c r="EN20" s="380" t="e">
        <f t="shared" si="27"/>
        <v>#N/A</v>
      </c>
      <c r="EO20" s="380" t="e">
        <f t="shared" si="27"/>
        <v>#N/A</v>
      </c>
      <c r="EP20" s="380" t="e">
        <f t="shared" si="27"/>
        <v>#N/A</v>
      </c>
      <c r="EQ20" s="380" t="e">
        <f t="shared" si="27"/>
        <v>#N/A</v>
      </c>
      <c r="ER20" s="380" t="e">
        <f t="shared" si="27"/>
        <v>#N/A</v>
      </c>
      <c r="ES20" s="380" t="e">
        <f t="shared" si="27"/>
        <v>#N/A</v>
      </c>
      <c r="ET20" s="380" t="e">
        <f t="shared" si="27"/>
        <v>#N/A</v>
      </c>
      <c r="EU20" s="379" t="e">
        <f t="shared" si="39"/>
        <v>#N/A</v>
      </c>
      <c r="EV20" s="382"/>
      <c r="EW20" s="382"/>
      <c r="EX20" s="382"/>
      <c r="EY20" s="382"/>
      <c r="EZ20" s="382"/>
      <c r="FA20" s="382"/>
      <c r="FB20" s="382"/>
      <c r="FE20" s="583"/>
      <c r="FF20" s="583"/>
      <c r="FG20" s="583"/>
      <c r="FH20" s="583"/>
    </row>
    <row r="21" spans="1:165" ht="35" customHeight="1" x14ac:dyDescent="0.3">
      <c r="A21" s="330"/>
      <c r="B21" s="318"/>
      <c r="C21" s="318"/>
      <c r="D21" s="318"/>
      <c r="E21" s="318"/>
      <c r="F21" s="318"/>
      <c r="G21" s="318"/>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7"/>
      <c r="AN21" s="318"/>
      <c r="AO21" s="513"/>
      <c r="AP21" s="513"/>
      <c r="AQ21" s="513"/>
      <c r="AR21" s="513"/>
      <c r="AS21" s="514"/>
      <c r="AT21" s="513"/>
      <c r="AU21" s="318"/>
      <c r="AV21" s="318"/>
      <c r="AW21" s="318"/>
      <c r="AX21" s="318"/>
      <c r="AY21" s="318"/>
      <c r="AZ21" s="318"/>
      <c r="BA21" s="318"/>
      <c r="BB21" s="318"/>
      <c r="BC21" s="318"/>
      <c r="BD21" s="318"/>
      <c r="BE21" s="318"/>
      <c r="BF21" s="318"/>
      <c r="BG21" s="333"/>
      <c r="BH21" s="333"/>
      <c r="BI21" s="333"/>
      <c r="BJ21" s="333"/>
      <c r="BK21" s="333"/>
      <c r="BL21" s="333"/>
      <c r="BM21" s="333"/>
      <c r="BN21" s="333"/>
      <c r="BO21" s="333"/>
      <c r="BP21" s="333"/>
      <c r="BQ21" s="333"/>
      <c r="BR21" s="333"/>
      <c r="BS21" s="333"/>
      <c r="BT21" s="334"/>
      <c r="BU21" s="335"/>
      <c r="BV21" s="255"/>
      <c r="BY21" s="144"/>
      <c r="BZ21" s="144"/>
      <c r="CA21" s="144"/>
      <c r="CB21" s="144"/>
      <c r="CC21" s="144"/>
      <c r="CD21" s="144"/>
      <c r="CE21" s="144"/>
      <c r="CF21" s="144"/>
      <c r="CG21" s="144"/>
      <c r="CH21" s="378" t="e">
        <f t="shared" si="5"/>
        <v>#N/A</v>
      </c>
      <c r="CI21" s="378" t="e">
        <f t="shared" si="6"/>
        <v>#N/A</v>
      </c>
      <c r="CJ21" s="378" t="e">
        <f t="shared" si="7"/>
        <v>#N/A</v>
      </c>
      <c r="CK21" s="378" t="e">
        <f t="shared" si="8"/>
        <v>#N/A</v>
      </c>
      <c r="CL21" s="378" t="e">
        <f t="shared" si="9"/>
        <v>#N/A</v>
      </c>
      <c r="CM21" s="378" t="e">
        <f t="shared" si="10"/>
        <v>#N/A</v>
      </c>
      <c r="CN21" s="378" t="e">
        <f t="shared" si="11"/>
        <v>#N/A</v>
      </c>
      <c r="CO21" s="378" t="e">
        <f t="shared" si="12"/>
        <v>#N/A</v>
      </c>
      <c r="CP21" s="378" t="e">
        <f t="shared" si="13"/>
        <v>#N/A</v>
      </c>
      <c r="CQ21" s="378" t="e">
        <f t="shared" si="14"/>
        <v>#N/A</v>
      </c>
      <c r="CR21" s="354" t="e">
        <f t="shared" si="33"/>
        <v>#N/A</v>
      </c>
      <c r="CS21" s="379" t="e">
        <f>(HLOOKUP($AI21,'Inflation Adjustments'!$B$3:$BT$4,2,TRUE))*CH21</f>
        <v>#N/A</v>
      </c>
      <c r="CT21" s="379" t="e">
        <f>(HLOOKUP($AI21,'Inflation Adjustments'!$B$3:$BT$4,2,TRUE))*CI21</f>
        <v>#N/A</v>
      </c>
      <c r="CU21" s="379" t="e">
        <f>(HLOOKUP($AI21,'Inflation Adjustments'!$B$3:$BT$4,2,TRUE))*CJ21</f>
        <v>#N/A</v>
      </c>
      <c r="CV21" s="379" t="e">
        <f>(HLOOKUP($AI21,'Inflation Adjustments'!$B$3:$BT$4,2,TRUE))*CK21</f>
        <v>#N/A</v>
      </c>
      <c r="CW21" s="379" t="e">
        <f>(HLOOKUP($AI21,'Inflation Adjustments'!$B$3:$BT$4,2,TRUE))*CL21</f>
        <v>#N/A</v>
      </c>
      <c r="CX21" s="379" t="e">
        <f>(HLOOKUP($AI21,'Inflation Adjustments'!$B$3:$BT$4,2,TRUE))*CM21</f>
        <v>#N/A</v>
      </c>
      <c r="CY21" s="379" t="e">
        <f>(HLOOKUP($AI21,'Inflation Adjustments'!$B$3:$BT$4,2,TRUE))*CN21</f>
        <v>#N/A</v>
      </c>
      <c r="CZ21" s="379" t="e">
        <f>(HLOOKUP($AI21,'Inflation Adjustments'!$B$3:$BT$4,2,TRUE))*CO21</f>
        <v>#N/A</v>
      </c>
      <c r="DA21" s="379" t="e">
        <f>(HLOOKUP($AI21,'Inflation Adjustments'!$B$3:$BT$4,2,TRUE))*CP21</f>
        <v>#N/A</v>
      </c>
      <c r="DB21" s="379" t="e">
        <f>(HLOOKUP($AI21,'Inflation Adjustments'!$B$3:$BT$4,2,TRUE))*CQ21</f>
        <v>#N/A</v>
      </c>
      <c r="DC21" s="379" t="e">
        <f t="shared" si="40"/>
        <v>#N/A</v>
      </c>
      <c r="DD21" s="354">
        <f t="shared" si="15"/>
        <v>2022</v>
      </c>
      <c r="DE21" s="378" t="e">
        <f t="shared" si="16"/>
        <v>#N/A</v>
      </c>
      <c r="DF21" s="378" t="e">
        <f t="shared" si="17"/>
        <v>#N/A</v>
      </c>
      <c r="DG21" s="378" t="e">
        <f t="shared" si="18"/>
        <v>#N/A</v>
      </c>
      <c r="DH21" s="378" t="e">
        <f t="shared" si="19"/>
        <v>#N/A</v>
      </c>
      <c r="DI21" s="378" t="e">
        <f t="shared" si="20"/>
        <v>#N/A</v>
      </c>
      <c r="DJ21" s="378" t="e">
        <f t="shared" si="21"/>
        <v>#N/A</v>
      </c>
      <c r="DK21" s="378" t="e">
        <f t="shared" si="22"/>
        <v>#N/A</v>
      </c>
      <c r="DL21" s="378" t="e">
        <f t="shared" si="22"/>
        <v>#N/A</v>
      </c>
      <c r="DM21" s="378" t="e">
        <f t="shared" si="23"/>
        <v>#N/A</v>
      </c>
      <c r="DN21" s="378" t="e">
        <f t="shared" si="24"/>
        <v>#N/A</v>
      </c>
      <c r="DO21" s="380" t="e">
        <f t="shared" si="34"/>
        <v>#N/A</v>
      </c>
      <c r="DP21" s="380" t="e">
        <f t="shared" si="34"/>
        <v>#N/A</v>
      </c>
      <c r="DQ21" s="380" t="e">
        <f t="shared" si="34"/>
        <v>#N/A</v>
      </c>
      <c r="DR21" s="380" t="e">
        <f t="shared" si="34"/>
        <v>#N/A</v>
      </c>
      <c r="DS21" s="380" t="e">
        <f t="shared" si="34"/>
        <v>#N/A</v>
      </c>
      <c r="DT21" s="380" t="e">
        <f t="shared" si="34"/>
        <v>#N/A</v>
      </c>
      <c r="DU21" s="380" t="e">
        <f t="shared" si="34"/>
        <v>#N/A</v>
      </c>
      <c r="DV21" s="380" t="e">
        <f t="shared" si="34"/>
        <v>#N/A</v>
      </c>
      <c r="DW21" s="380" t="e">
        <f t="shared" si="34"/>
        <v>#N/A</v>
      </c>
      <c r="DX21" s="380" t="e">
        <f t="shared" si="34"/>
        <v>#N/A</v>
      </c>
      <c r="DY21" s="380" t="e">
        <f t="shared" si="35"/>
        <v>#N/A</v>
      </c>
      <c r="DZ21" s="378" t="e">
        <f t="shared" si="36"/>
        <v>#N/A</v>
      </c>
      <c r="EA21" s="378" t="e">
        <f t="shared" si="36"/>
        <v>#N/A</v>
      </c>
      <c r="EB21" s="378" t="e">
        <f t="shared" si="36"/>
        <v>#N/A</v>
      </c>
      <c r="EC21" s="378" t="e">
        <f t="shared" si="36"/>
        <v>#N/A</v>
      </c>
      <c r="ED21" s="378" t="e">
        <f t="shared" si="36"/>
        <v>#N/A</v>
      </c>
      <c r="EE21" s="378" t="e">
        <f t="shared" si="36"/>
        <v>#N/A</v>
      </c>
      <c r="EF21" s="378" t="e">
        <f t="shared" si="36"/>
        <v>#N/A</v>
      </c>
      <c r="EG21" s="378" t="e">
        <f t="shared" si="36"/>
        <v>#N/A</v>
      </c>
      <c r="EH21" s="378" t="e">
        <f t="shared" si="36"/>
        <v>#N/A</v>
      </c>
      <c r="EI21" s="378" t="e">
        <f t="shared" si="36"/>
        <v>#N/A</v>
      </c>
      <c r="EJ21" s="354" t="e">
        <f t="shared" si="37"/>
        <v>#N/A</v>
      </c>
      <c r="EK21" s="380" t="e">
        <f t="shared" si="38"/>
        <v>#N/A</v>
      </c>
      <c r="EL21" s="380" t="e">
        <f t="shared" si="38"/>
        <v>#N/A</v>
      </c>
      <c r="EM21" s="380" t="e">
        <f t="shared" si="38"/>
        <v>#N/A</v>
      </c>
      <c r="EN21" s="380" t="e">
        <f t="shared" si="38"/>
        <v>#N/A</v>
      </c>
      <c r="EO21" s="380" t="e">
        <f t="shared" si="38"/>
        <v>#N/A</v>
      </c>
      <c r="EP21" s="380" t="e">
        <f t="shared" si="38"/>
        <v>#N/A</v>
      </c>
      <c r="EQ21" s="380" t="e">
        <f t="shared" si="38"/>
        <v>#N/A</v>
      </c>
      <c r="ER21" s="380" t="e">
        <f t="shared" si="38"/>
        <v>#N/A</v>
      </c>
      <c r="ES21" s="380" t="e">
        <f t="shared" si="38"/>
        <v>#N/A</v>
      </c>
      <c r="ET21" s="380" t="e">
        <f t="shared" si="38"/>
        <v>#N/A</v>
      </c>
      <c r="EU21" s="379" t="e">
        <f t="shared" si="39"/>
        <v>#N/A</v>
      </c>
      <c r="EV21" s="382"/>
      <c r="EW21" s="382"/>
      <c r="EX21" s="382"/>
      <c r="EY21" s="382"/>
      <c r="EZ21" s="382"/>
      <c r="FA21" s="382"/>
      <c r="FB21" s="382"/>
      <c r="FE21" s="583"/>
      <c r="FF21" s="583"/>
      <c r="FG21" s="583"/>
      <c r="FH21" s="583"/>
    </row>
    <row r="22" spans="1:165" ht="35" customHeight="1" x14ac:dyDescent="0.3">
      <c r="A22" s="330"/>
      <c r="B22" s="318"/>
      <c r="C22" s="318"/>
      <c r="D22" s="318"/>
      <c r="E22" s="318"/>
      <c r="F22" s="318"/>
      <c r="G22" s="318"/>
      <c r="H22" s="318"/>
      <c r="I22" s="318"/>
      <c r="J22" s="318"/>
      <c r="K22" s="318"/>
      <c r="L22" s="318"/>
      <c r="M22" s="318"/>
      <c r="N22" s="318"/>
      <c r="O22" s="318"/>
      <c r="P22" s="318"/>
      <c r="Q22" s="318"/>
      <c r="R22" s="318"/>
      <c r="S22" s="318"/>
      <c r="T22" s="318"/>
      <c r="U22" s="318"/>
      <c r="V22" s="318"/>
      <c r="W22" s="318"/>
      <c r="X22" s="318"/>
      <c r="Y22" s="318"/>
      <c r="Z22" s="318"/>
      <c r="AA22" s="318"/>
      <c r="AB22" s="318"/>
      <c r="AC22" s="318"/>
      <c r="AD22" s="318"/>
      <c r="AE22" s="318"/>
      <c r="AF22" s="318"/>
      <c r="AG22" s="318"/>
      <c r="AH22" s="318"/>
      <c r="AI22" s="318"/>
      <c r="AJ22" s="318"/>
      <c r="AK22" s="318"/>
      <c r="AL22" s="318"/>
      <c r="AM22" s="317"/>
      <c r="AN22" s="318"/>
      <c r="AO22" s="513"/>
      <c r="AP22" s="513"/>
      <c r="AQ22" s="513"/>
      <c r="AR22" s="513"/>
      <c r="AS22" s="514"/>
      <c r="AT22" s="513"/>
      <c r="AU22" s="318"/>
      <c r="AV22" s="318"/>
      <c r="AW22" s="318"/>
      <c r="AX22" s="318"/>
      <c r="AY22" s="318"/>
      <c r="AZ22" s="318"/>
      <c r="BA22" s="318"/>
      <c r="BB22" s="318"/>
      <c r="BC22" s="318"/>
      <c r="BD22" s="318"/>
      <c r="BE22" s="318"/>
      <c r="BF22" s="318"/>
      <c r="BG22" s="333"/>
      <c r="BH22" s="333"/>
      <c r="BI22" s="333"/>
      <c r="BJ22" s="333"/>
      <c r="BK22" s="333"/>
      <c r="BL22" s="333"/>
      <c r="BM22" s="333"/>
      <c r="BN22" s="333"/>
      <c r="BO22" s="333"/>
      <c r="BP22" s="333"/>
      <c r="BQ22" s="333"/>
      <c r="BR22" s="333"/>
      <c r="BS22" s="333"/>
      <c r="BT22" s="334"/>
      <c r="BU22" s="335"/>
      <c r="BV22" s="255"/>
      <c r="BY22" s="144"/>
      <c r="BZ22" s="144"/>
      <c r="CA22" s="144"/>
      <c r="CB22" s="144"/>
      <c r="CC22" s="144"/>
      <c r="CD22" s="144"/>
      <c r="CE22" s="144"/>
      <c r="CF22" s="144"/>
      <c r="CG22" s="144"/>
      <c r="CH22" s="378" t="e">
        <f t="shared" si="5"/>
        <v>#N/A</v>
      </c>
      <c r="CI22" s="378" t="e">
        <f t="shared" si="6"/>
        <v>#N/A</v>
      </c>
      <c r="CJ22" s="378" t="e">
        <f t="shared" si="7"/>
        <v>#N/A</v>
      </c>
      <c r="CK22" s="378" t="e">
        <f t="shared" si="8"/>
        <v>#N/A</v>
      </c>
      <c r="CL22" s="378" t="e">
        <f t="shared" si="9"/>
        <v>#N/A</v>
      </c>
      <c r="CM22" s="378" t="e">
        <f t="shared" si="10"/>
        <v>#N/A</v>
      </c>
      <c r="CN22" s="378" t="e">
        <f t="shared" si="11"/>
        <v>#N/A</v>
      </c>
      <c r="CO22" s="378" t="e">
        <f t="shared" si="12"/>
        <v>#N/A</v>
      </c>
      <c r="CP22" s="378" t="e">
        <f t="shared" si="13"/>
        <v>#N/A</v>
      </c>
      <c r="CQ22" s="378" t="e">
        <f t="shared" si="14"/>
        <v>#N/A</v>
      </c>
      <c r="CR22" s="354" t="e">
        <f t="shared" si="33"/>
        <v>#N/A</v>
      </c>
      <c r="CS22" s="379" t="e">
        <f>(HLOOKUP($AI22,'Inflation Adjustments'!$B$3:$BT$4,2,TRUE))*CH22</f>
        <v>#N/A</v>
      </c>
      <c r="CT22" s="379" t="e">
        <f>(HLOOKUP($AI22,'Inflation Adjustments'!$B$3:$BT$4,2,TRUE))*CI22</f>
        <v>#N/A</v>
      </c>
      <c r="CU22" s="379" t="e">
        <f>(HLOOKUP($AI22,'Inflation Adjustments'!$B$3:$BT$4,2,TRUE))*CJ22</f>
        <v>#N/A</v>
      </c>
      <c r="CV22" s="379" t="e">
        <f>(HLOOKUP($AI22,'Inflation Adjustments'!$B$3:$BT$4,2,TRUE))*CK22</f>
        <v>#N/A</v>
      </c>
      <c r="CW22" s="379" t="e">
        <f>(HLOOKUP($AI22,'Inflation Adjustments'!$B$3:$BT$4,2,TRUE))*CL22</f>
        <v>#N/A</v>
      </c>
      <c r="CX22" s="379" t="e">
        <f>(HLOOKUP($AI22,'Inflation Adjustments'!$B$3:$BT$4,2,TRUE))*CM22</f>
        <v>#N/A</v>
      </c>
      <c r="CY22" s="379" t="e">
        <f>(HLOOKUP($AI22,'Inflation Adjustments'!$B$3:$BT$4,2,TRUE))*CN22</f>
        <v>#N/A</v>
      </c>
      <c r="CZ22" s="379" t="e">
        <f>(HLOOKUP($AI22,'Inflation Adjustments'!$B$3:$BT$4,2,TRUE))*CO22</f>
        <v>#N/A</v>
      </c>
      <c r="DA22" s="379" t="e">
        <f>(HLOOKUP($AI22,'Inflation Adjustments'!$B$3:$BT$4,2,TRUE))*CP22</f>
        <v>#N/A</v>
      </c>
      <c r="DB22" s="379" t="e">
        <f>(HLOOKUP($AI22,'Inflation Adjustments'!$B$3:$BT$4,2,TRUE))*CQ22</f>
        <v>#N/A</v>
      </c>
      <c r="DC22" s="379" t="e">
        <f t="shared" si="40"/>
        <v>#N/A</v>
      </c>
      <c r="DD22" s="354">
        <f t="shared" si="15"/>
        <v>2022</v>
      </c>
      <c r="DE22" s="378" t="e">
        <f t="shared" si="16"/>
        <v>#N/A</v>
      </c>
      <c r="DF22" s="378" t="e">
        <f t="shared" si="17"/>
        <v>#N/A</v>
      </c>
      <c r="DG22" s="378" t="e">
        <f t="shared" si="18"/>
        <v>#N/A</v>
      </c>
      <c r="DH22" s="378" t="e">
        <f t="shared" si="19"/>
        <v>#N/A</v>
      </c>
      <c r="DI22" s="378" t="e">
        <f t="shared" si="20"/>
        <v>#N/A</v>
      </c>
      <c r="DJ22" s="378" t="e">
        <f t="shared" si="21"/>
        <v>#N/A</v>
      </c>
      <c r="DK22" s="378" t="e">
        <f t="shared" si="22"/>
        <v>#N/A</v>
      </c>
      <c r="DL22" s="378" t="e">
        <f t="shared" si="22"/>
        <v>#N/A</v>
      </c>
      <c r="DM22" s="378" t="e">
        <f t="shared" si="23"/>
        <v>#N/A</v>
      </c>
      <c r="DN22" s="378" t="e">
        <f t="shared" si="24"/>
        <v>#N/A</v>
      </c>
      <c r="DO22" s="380" t="e">
        <f t="shared" si="34"/>
        <v>#N/A</v>
      </c>
      <c r="DP22" s="380" t="e">
        <f t="shared" si="34"/>
        <v>#N/A</v>
      </c>
      <c r="DQ22" s="380" t="e">
        <f t="shared" si="34"/>
        <v>#N/A</v>
      </c>
      <c r="DR22" s="380" t="e">
        <f t="shared" si="34"/>
        <v>#N/A</v>
      </c>
      <c r="DS22" s="380" t="e">
        <f t="shared" si="34"/>
        <v>#N/A</v>
      </c>
      <c r="DT22" s="380" t="e">
        <f t="shared" si="34"/>
        <v>#N/A</v>
      </c>
      <c r="DU22" s="380" t="e">
        <f t="shared" si="34"/>
        <v>#N/A</v>
      </c>
      <c r="DV22" s="380" t="e">
        <f t="shared" si="34"/>
        <v>#N/A</v>
      </c>
      <c r="DW22" s="380" t="e">
        <f t="shared" si="34"/>
        <v>#N/A</v>
      </c>
      <c r="DX22" s="380" t="e">
        <f t="shared" si="34"/>
        <v>#N/A</v>
      </c>
      <c r="DY22" s="380" t="e">
        <f t="shared" si="35"/>
        <v>#N/A</v>
      </c>
      <c r="DZ22" s="378" t="e">
        <f t="shared" si="36"/>
        <v>#N/A</v>
      </c>
      <c r="EA22" s="378" t="e">
        <f t="shared" si="36"/>
        <v>#N/A</v>
      </c>
      <c r="EB22" s="378" t="e">
        <f t="shared" si="36"/>
        <v>#N/A</v>
      </c>
      <c r="EC22" s="378" t="e">
        <f t="shared" si="36"/>
        <v>#N/A</v>
      </c>
      <c r="ED22" s="378" t="e">
        <f t="shared" si="36"/>
        <v>#N/A</v>
      </c>
      <c r="EE22" s="378" t="e">
        <f t="shared" si="36"/>
        <v>#N/A</v>
      </c>
      <c r="EF22" s="378" t="e">
        <f t="shared" si="36"/>
        <v>#N/A</v>
      </c>
      <c r="EG22" s="378" t="e">
        <f t="shared" si="36"/>
        <v>#N/A</v>
      </c>
      <c r="EH22" s="378" t="e">
        <f t="shared" si="36"/>
        <v>#N/A</v>
      </c>
      <c r="EI22" s="378" t="e">
        <f t="shared" si="36"/>
        <v>#N/A</v>
      </c>
      <c r="EJ22" s="354" t="e">
        <f t="shared" si="37"/>
        <v>#N/A</v>
      </c>
      <c r="EK22" s="380" t="e">
        <f t="shared" si="38"/>
        <v>#N/A</v>
      </c>
      <c r="EL22" s="380" t="e">
        <f t="shared" si="38"/>
        <v>#N/A</v>
      </c>
      <c r="EM22" s="380" t="e">
        <f t="shared" si="38"/>
        <v>#N/A</v>
      </c>
      <c r="EN22" s="380" t="e">
        <f t="shared" si="38"/>
        <v>#N/A</v>
      </c>
      <c r="EO22" s="380" t="e">
        <f t="shared" si="38"/>
        <v>#N/A</v>
      </c>
      <c r="EP22" s="380" t="e">
        <f t="shared" si="38"/>
        <v>#N/A</v>
      </c>
      <c r="EQ22" s="380" t="e">
        <f t="shared" si="38"/>
        <v>#N/A</v>
      </c>
      <c r="ER22" s="380" t="e">
        <f t="shared" si="38"/>
        <v>#N/A</v>
      </c>
      <c r="ES22" s="380" t="e">
        <f t="shared" si="38"/>
        <v>#N/A</v>
      </c>
      <c r="ET22" s="380" t="e">
        <f t="shared" si="38"/>
        <v>#N/A</v>
      </c>
      <c r="EU22" s="379" t="e">
        <f t="shared" si="39"/>
        <v>#N/A</v>
      </c>
      <c r="EV22" s="382"/>
      <c r="EW22" s="382"/>
      <c r="EX22" s="382"/>
      <c r="EY22" s="382"/>
      <c r="EZ22" s="382"/>
      <c r="FA22" s="382"/>
      <c r="FB22" s="382"/>
      <c r="FE22" s="583"/>
      <c r="FF22" s="583"/>
      <c r="FG22" s="583"/>
      <c r="FH22" s="583"/>
    </row>
    <row r="23" spans="1:165" ht="35" customHeight="1" x14ac:dyDescent="0.3">
      <c r="A23" s="330"/>
      <c r="B23" s="318"/>
      <c r="C23" s="318"/>
      <c r="D23" s="318"/>
      <c r="E23" s="318"/>
      <c r="F23" s="318"/>
      <c r="G23" s="318"/>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c r="AH23" s="318"/>
      <c r="AI23" s="318"/>
      <c r="AJ23" s="318"/>
      <c r="AK23" s="318"/>
      <c r="AL23" s="318"/>
      <c r="AM23" s="317"/>
      <c r="AN23" s="318"/>
      <c r="AO23" s="513"/>
      <c r="AP23" s="513"/>
      <c r="AQ23" s="513"/>
      <c r="AR23" s="513"/>
      <c r="AS23" s="514"/>
      <c r="AT23" s="513"/>
      <c r="AU23" s="318"/>
      <c r="AV23" s="318"/>
      <c r="AW23" s="318"/>
      <c r="AX23" s="318"/>
      <c r="AY23" s="318"/>
      <c r="AZ23" s="318"/>
      <c r="BA23" s="318"/>
      <c r="BB23" s="318"/>
      <c r="BC23" s="318"/>
      <c r="BD23" s="318"/>
      <c r="BE23" s="318"/>
      <c r="BF23" s="318"/>
      <c r="BG23" s="333"/>
      <c r="BH23" s="333"/>
      <c r="BI23" s="333"/>
      <c r="BJ23" s="333"/>
      <c r="BK23" s="333"/>
      <c r="BL23" s="333"/>
      <c r="BM23" s="333"/>
      <c r="BN23" s="333"/>
      <c r="BO23" s="333"/>
      <c r="BP23" s="333"/>
      <c r="BQ23" s="333"/>
      <c r="BR23" s="333"/>
      <c r="BS23" s="333"/>
      <c r="BT23" s="334"/>
      <c r="BU23" s="335"/>
      <c r="BV23" s="255"/>
      <c r="BY23" s="144"/>
      <c r="BZ23" s="144"/>
      <c r="CA23" s="144"/>
      <c r="CB23" s="144"/>
      <c r="CC23" s="144"/>
      <c r="CD23" s="144"/>
      <c r="CE23" s="144"/>
      <c r="CF23" s="144"/>
      <c r="CG23" s="144"/>
      <c r="CH23" s="378" t="e">
        <f t="shared" si="5"/>
        <v>#N/A</v>
      </c>
      <c r="CI23" s="378" t="e">
        <f t="shared" si="6"/>
        <v>#N/A</v>
      </c>
      <c r="CJ23" s="378" t="e">
        <f t="shared" si="7"/>
        <v>#N/A</v>
      </c>
      <c r="CK23" s="378" t="e">
        <f t="shared" si="8"/>
        <v>#N/A</v>
      </c>
      <c r="CL23" s="378" t="e">
        <f t="shared" si="9"/>
        <v>#N/A</v>
      </c>
      <c r="CM23" s="378" t="e">
        <f t="shared" si="10"/>
        <v>#N/A</v>
      </c>
      <c r="CN23" s="378" t="e">
        <f t="shared" si="11"/>
        <v>#N/A</v>
      </c>
      <c r="CO23" s="378" t="e">
        <f t="shared" si="12"/>
        <v>#N/A</v>
      </c>
      <c r="CP23" s="378" t="e">
        <f t="shared" si="13"/>
        <v>#N/A</v>
      </c>
      <c r="CQ23" s="378" t="e">
        <f t="shared" si="14"/>
        <v>#N/A</v>
      </c>
      <c r="CR23" s="354" t="e">
        <f>SUM(CH23:CQ23)</f>
        <v>#N/A</v>
      </c>
      <c r="CS23" s="379" t="e">
        <f>(HLOOKUP($AI23,'Inflation Adjustments'!$B$3:$BT$4,2,TRUE))*CH23</f>
        <v>#N/A</v>
      </c>
      <c r="CT23" s="379" t="e">
        <f>(HLOOKUP($AI23,'Inflation Adjustments'!$B$3:$BT$4,2,TRUE))*CI23</f>
        <v>#N/A</v>
      </c>
      <c r="CU23" s="379" t="e">
        <f>(HLOOKUP($AI23,'Inflation Adjustments'!$B$3:$BT$4,2,TRUE))*CJ23</f>
        <v>#N/A</v>
      </c>
      <c r="CV23" s="379" t="e">
        <f>(HLOOKUP($AI23,'Inflation Adjustments'!$B$3:$BT$4,2,TRUE))*CK23</f>
        <v>#N/A</v>
      </c>
      <c r="CW23" s="379" t="e">
        <f>(HLOOKUP($AI23,'Inflation Adjustments'!$B$3:$BT$4,2,TRUE))*CL23</f>
        <v>#N/A</v>
      </c>
      <c r="CX23" s="379" t="e">
        <f>(HLOOKUP($AI23,'Inflation Adjustments'!$B$3:$BT$4,2,TRUE))*CM23</f>
        <v>#N/A</v>
      </c>
      <c r="CY23" s="379" t="e">
        <f>(HLOOKUP($AI23,'Inflation Adjustments'!$B$3:$BT$4,2,TRUE))*CN23</f>
        <v>#N/A</v>
      </c>
      <c r="CZ23" s="379" t="e">
        <f>(HLOOKUP($AI23,'Inflation Adjustments'!$B$3:$BT$4,2,TRUE))*CO23</f>
        <v>#N/A</v>
      </c>
      <c r="DA23" s="379" t="e">
        <f>(HLOOKUP($AI23,'Inflation Adjustments'!$B$3:$BT$4,2,TRUE))*CP23</f>
        <v>#N/A</v>
      </c>
      <c r="DB23" s="379" t="e">
        <f>(HLOOKUP($AI23,'Inflation Adjustments'!$B$3:$BT$4,2,TRUE))*CQ23</f>
        <v>#N/A</v>
      </c>
      <c r="DC23" s="379" t="e">
        <f t="shared" si="40"/>
        <v>#N/A</v>
      </c>
      <c r="DD23" s="354">
        <f t="shared" si="15"/>
        <v>2022</v>
      </c>
      <c r="DE23" s="378" t="e">
        <f t="shared" si="16"/>
        <v>#N/A</v>
      </c>
      <c r="DF23" s="378" t="e">
        <f t="shared" si="17"/>
        <v>#N/A</v>
      </c>
      <c r="DG23" s="378" t="e">
        <f t="shared" si="18"/>
        <v>#N/A</v>
      </c>
      <c r="DH23" s="378" t="e">
        <f t="shared" si="19"/>
        <v>#N/A</v>
      </c>
      <c r="DI23" s="378" t="e">
        <f t="shared" si="20"/>
        <v>#N/A</v>
      </c>
      <c r="DJ23" s="378" t="e">
        <f t="shared" si="21"/>
        <v>#N/A</v>
      </c>
      <c r="DK23" s="378" t="e">
        <f t="shared" si="22"/>
        <v>#N/A</v>
      </c>
      <c r="DL23" s="378" t="e">
        <f t="shared" si="22"/>
        <v>#N/A</v>
      </c>
      <c r="DM23" s="378" t="e">
        <f t="shared" si="23"/>
        <v>#N/A</v>
      </c>
      <c r="DN23" s="378" t="e">
        <f t="shared" si="24"/>
        <v>#N/A</v>
      </c>
      <c r="DO23" s="380" t="e">
        <f t="shared" ref="DO23:DX34" si="41">CS23/DE23</f>
        <v>#N/A</v>
      </c>
      <c r="DP23" s="380" t="e">
        <f t="shared" si="41"/>
        <v>#N/A</v>
      </c>
      <c r="DQ23" s="380" t="e">
        <f t="shared" si="41"/>
        <v>#N/A</v>
      </c>
      <c r="DR23" s="380" t="e">
        <f t="shared" si="41"/>
        <v>#N/A</v>
      </c>
      <c r="DS23" s="380" t="e">
        <f t="shared" si="41"/>
        <v>#N/A</v>
      </c>
      <c r="DT23" s="380" t="e">
        <f t="shared" si="41"/>
        <v>#N/A</v>
      </c>
      <c r="DU23" s="380" t="e">
        <f t="shared" si="41"/>
        <v>#N/A</v>
      </c>
      <c r="DV23" s="380" t="e">
        <f t="shared" si="41"/>
        <v>#N/A</v>
      </c>
      <c r="DW23" s="380" t="e">
        <f t="shared" si="41"/>
        <v>#N/A</v>
      </c>
      <c r="DX23" s="380" t="e">
        <f t="shared" si="41"/>
        <v>#N/A</v>
      </c>
      <c r="DY23" s="380" t="e">
        <f>SUM(DO23:DX23)</f>
        <v>#N/A</v>
      </c>
      <c r="DZ23" s="378" t="e">
        <f t="shared" ref="DZ23:EI34" si="42">IF(DO23*$DD23&gt;CS23,CS23,DO23*$DD23)</f>
        <v>#N/A</v>
      </c>
      <c r="EA23" s="378" t="e">
        <f t="shared" si="42"/>
        <v>#N/A</v>
      </c>
      <c r="EB23" s="378" t="e">
        <f t="shared" si="42"/>
        <v>#N/A</v>
      </c>
      <c r="EC23" s="378" t="e">
        <f t="shared" si="42"/>
        <v>#N/A</v>
      </c>
      <c r="ED23" s="378" t="e">
        <f t="shared" si="42"/>
        <v>#N/A</v>
      </c>
      <c r="EE23" s="378" t="e">
        <f t="shared" si="42"/>
        <v>#N/A</v>
      </c>
      <c r="EF23" s="378" t="e">
        <f t="shared" si="42"/>
        <v>#N/A</v>
      </c>
      <c r="EG23" s="378" t="e">
        <f t="shared" si="42"/>
        <v>#N/A</v>
      </c>
      <c r="EH23" s="378" t="e">
        <f t="shared" si="42"/>
        <v>#N/A</v>
      </c>
      <c r="EI23" s="378" t="e">
        <f t="shared" si="42"/>
        <v>#N/A</v>
      </c>
      <c r="EJ23" s="354" t="e">
        <f>SUM(DZ23:EI23)</f>
        <v>#N/A</v>
      </c>
      <c r="EK23" s="380" t="e">
        <f t="shared" ref="EK23:ET34" si="43">IF(DO23&lt;(CS23-DZ23),DO23,(CS23-DZ23))</f>
        <v>#N/A</v>
      </c>
      <c r="EL23" s="380" t="e">
        <f t="shared" si="43"/>
        <v>#N/A</v>
      </c>
      <c r="EM23" s="380" t="e">
        <f t="shared" si="43"/>
        <v>#N/A</v>
      </c>
      <c r="EN23" s="380" t="e">
        <f t="shared" si="43"/>
        <v>#N/A</v>
      </c>
      <c r="EO23" s="380" t="e">
        <f t="shared" si="43"/>
        <v>#N/A</v>
      </c>
      <c r="EP23" s="380" t="e">
        <f t="shared" si="43"/>
        <v>#N/A</v>
      </c>
      <c r="EQ23" s="380" t="e">
        <f t="shared" si="43"/>
        <v>#N/A</v>
      </c>
      <c r="ER23" s="380" t="e">
        <f t="shared" si="43"/>
        <v>#N/A</v>
      </c>
      <c r="ES23" s="380" t="e">
        <f t="shared" si="43"/>
        <v>#N/A</v>
      </c>
      <c r="ET23" s="380" t="e">
        <f t="shared" si="43"/>
        <v>#N/A</v>
      </c>
      <c r="EU23" s="379" t="e">
        <f>SUM(EK23:ET23)</f>
        <v>#N/A</v>
      </c>
      <c r="EV23" s="382"/>
      <c r="EW23" s="382"/>
      <c r="EX23" s="382"/>
      <c r="EY23" s="382"/>
      <c r="EZ23" s="382"/>
      <c r="FA23" s="382"/>
      <c r="FB23" s="382"/>
      <c r="FE23" s="583"/>
      <c r="FF23" s="583"/>
      <c r="FG23" s="583"/>
      <c r="FH23" s="583"/>
    </row>
    <row r="24" spans="1:165" ht="35" customHeight="1" x14ac:dyDescent="0.3">
      <c r="A24" s="330"/>
      <c r="B24" s="331"/>
      <c r="C24" s="331"/>
      <c r="D24" s="331"/>
      <c r="E24" s="331"/>
      <c r="F24" s="331"/>
      <c r="G24" s="331"/>
      <c r="H24" s="331"/>
      <c r="I24" s="331"/>
      <c r="J24" s="331"/>
      <c r="K24" s="331"/>
      <c r="L24" s="331"/>
      <c r="M24" s="318"/>
      <c r="N24" s="331"/>
      <c r="O24" s="331"/>
      <c r="P24" s="331"/>
      <c r="Q24" s="331"/>
      <c r="R24" s="331"/>
      <c r="S24" s="331"/>
      <c r="T24" s="331"/>
      <c r="U24" s="331"/>
      <c r="V24" s="331"/>
      <c r="W24" s="331"/>
      <c r="X24" s="331"/>
      <c r="Y24" s="331"/>
      <c r="Z24" s="331"/>
      <c r="AA24" s="331"/>
      <c r="AB24" s="331"/>
      <c r="AC24" s="331"/>
      <c r="AD24" s="331"/>
      <c r="AE24" s="331"/>
      <c r="AF24" s="331"/>
      <c r="AG24" s="331"/>
      <c r="AH24" s="331"/>
      <c r="AI24" s="331"/>
      <c r="AJ24" s="331"/>
      <c r="AK24" s="331"/>
      <c r="AL24" s="331"/>
      <c r="AM24" s="413"/>
      <c r="AN24" s="331"/>
      <c r="AO24" s="513"/>
      <c r="AP24" s="513"/>
      <c r="AQ24" s="513"/>
      <c r="AR24" s="513"/>
      <c r="AS24" s="514"/>
      <c r="AT24" s="513"/>
      <c r="AU24" s="318"/>
      <c r="AV24" s="318"/>
      <c r="AW24" s="318"/>
      <c r="AX24" s="318"/>
      <c r="AY24" s="318"/>
      <c r="AZ24" s="318"/>
      <c r="BA24" s="331"/>
      <c r="BB24" s="331"/>
      <c r="BC24" s="331"/>
      <c r="BD24" s="331"/>
      <c r="BE24" s="331"/>
      <c r="BF24" s="318"/>
      <c r="BG24" s="333"/>
      <c r="BH24" s="414"/>
      <c r="BI24" s="414"/>
      <c r="BJ24" s="414"/>
      <c r="BK24" s="414"/>
      <c r="BL24" s="414"/>
      <c r="BM24" s="414"/>
      <c r="BN24" s="414"/>
      <c r="BO24" s="414"/>
      <c r="BP24" s="414"/>
      <c r="BQ24" s="414"/>
      <c r="BR24" s="414"/>
      <c r="BS24" s="414"/>
      <c r="BT24" s="415"/>
      <c r="BU24" s="335"/>
      <c r="BV24" s="255"/>
      <c r="BY24" s="144"/>
      <c r="BZ24" s="144"/>
      <c r="CA24" s="144"/>
      <c r="CB24" s="144"/>
      <c r="CC24" s="144"/>
      <c r="CD24" s="144"/>
      <c r="CE24" s="144"/>
      <c r="CF24" s="144"/>
      <c r="CG24" s="144"/>
      <c r="CH24" s="378" t="e">
        <f t="shared" si="5"/>
        <v>#N/A</v>
      </c>
      <c r="CI24" s="378" t="e">
        <f t="shared" si="6"/>
        <v>#N/A</v>
      </c>
      <c r="CJ24" s="378" t="e">
        <f t="shared" si="7"/>
        <v>#N/A</v>
      </c>
      <c r="CK24" s="378" t="e">
        <f t="shared" si="8"/>
        <v>#N/A</v>
      </c>
      <c r="CL24" s="378" t="e">
        <f t="shared" si="9"/>
        <v>#N/A</v>
      </c>
      <c r="CM24" s="378" t="e">
        <f t="shared" si="10"/>
        <v>#N/A</v>
      </c>
      <c r="CN24" s="378" t="e">
        <f t="shared" si="11"/>
        <v>#N/A</v>
      </c>
      <c r="CO24" s="378" t="e">
        <f t="shared" si="12"/>
        <v>#N/A</v>
      </c>
      <c r="CP24" s="378" t="e">
        <f t="shared" si="13"/>
        <v>#N/A</v>
      </c>
      <c r="CQ24" s="378" t="e">
        <f t="shared" si="14"/>
        <v>#N/A</v>
      </c>
      <c r="CR24" s="354" t="e">
        <f>SUM(CH24:CQ24)</f>
        <v>#N/A</v>
      </c>
      <c r="CS24" s="379" t="e">
        <f>(HLOOKUP($AI24,'Inflation Adjustments'!$B$3:$BT$4,2,TRUE))*CH24</f>
        <v>#N/A</v>
      </c>
      <c r="CT24" s="379" t="e">
        <f>(HLOOKUP($AI24,'Inflation Adjustments'!$B$3:$BT$4,2,TRUE))*CI24</f>
        <v>#N/A</v>
      </c>
      <c r="CU24" s="379" t="e">
        <f>(HLOOKUP($AI24,'Inflation Adjustments'!$B$3:$BT$4,2,TRUE))*CJ24</f>
        <v>#N/A</v>
      </c>
      <c r="CV24" s="379" t="e">
        <f>(HLOOKUP($AI24,'Inflation Adjustments'!$B$3:$BT$4,2,TRUE))*CK24</f>
        <v>#N/A</v>
      </c>
      <c r="CW24" s="379" t="e">
        <f>(HLOOKUP($AI24,'Inflation Adjustments'!$B$3:$BT$4,2,TRUE))*CL24</f>
        <v>#N/A</v>
      </c>
      <c r="CX24" s="379" t="e">
        <f>(HLOOKUP($AI24,'Inflation Adjustments'!$B$3:$BT$4,2,TRUE))*CM24</f>
        <v>#N/A</v>
      </c>
      <c r="CY24" s="379" t="e">
        <f>(HLOOKUP($AI24,'Inflation Adjustments'!$B$3:$BT$4,2,TRUE))*CN24</f>
        <v>#N/A</v>
      </c>
      <c r="CZ24" s="379" t="e">
        <f>(HLOOKUP($AI24,'Inflation Adjustments'!$B$3:$BT$4,2,TRUE))*CO24</f>
        <v>#N/A</v>
      </c>
      <c r="DA24" s="379" t="e">
        <f>(HLOOKUP($AI24,'Inflation Adjustments'!$B$3:$BT$4,2,TRUE))*CP24</f>
        <v>#N/A</v>
      </c>
      <c r="DB24" s="379" t="e">
        <f>(HLOOKUP($AI24,'Inflation Adjustments'!$B$3:$BT$4,2,TRUE))*CQ24</f>
        <v>#N/A</v>
      </c>
      <c r="DC24" s="379" t="e">
        <f t="shared" si="40"/>
        <v>#N/A</v>
      </c>
      <c r="DD24" s="354">
        <f t="shared" si="15"/>
        <v>2022</v>
      </c>
      <c r="DE24" s="378" t="e">
        <f t="shared" si="16"/>
        <v>#N/A</v>
      </c>
      <c r="DF24" s="378" t="e">
        <f t="shared" si="17"/>
        <v>#N/A</v>
      </c>
      <c r="DG24" s="378" t="e">
        <f t="shared" si="18"/>
        <v>#N/A</v>
      </c>
      <c r="DH24" s="378" t="e">
        <f t="shared" si="19"/>
        <v>#N/A</v>
      </c>
      <c r="DI24" s="378" t="e">
        <f t="shared" si="20"/>
        <v>#N/A</v>
      </c>
      <c r="DJ24" s="378" t="e">
        <f t="shared" si="21"/>
        <v>#N/A</v>
      </c>
      <c r="DK24" s="378" t="e">
        <f t="shared" si="22"/>
        <v>#N/A</v>
      </c>
      <c r="DL24" s="378" t="e">
        <f t="shared" si="22"/>
        <v>#N/A</v>
      </c>
      <c r="DM24" s="378" t="e">
        <f t="shared" si="23"/>
        <v>#N/A</v>
      </c>
      <c r="DN24" s="378" t="e">
        <f t="shared" si="24"/>
        <v>#N/A</v>
      </c>
      <c r="DO24" s="380" t="e">
        <f t="shared" si="41"/>
        <v>#N/A</v>
      </c>
      <c r="DP24" s="380" t="e">
        <f t="shared" si="41"/>
        <v>#N/A</v>
      </c>
      <c r="DQ24" s="380" t="e">
        <f t="shared" si="41"/>
        <v>#N/A</v>
      </c>
      <c r="DR24" s="380" t="e">
        <f t="shared" si="41"/>
        <v>#N/A</v>
      </c>
      <c r="DS24" s="380" t="e">
        <f t="shared" si="41"/>
        <v>#N/A</v>
      </c>
      <c r="DT24" s="380" t="e">
        <f t="shared" si="41"/>
        <v>#N/A</v>
      </c>
      <c r="DU24" s="380" t="e">
        <f t="shared" si="41"/>
        <v>#N/A</v>
      </c>
      <c r="DV24" s="380" t="e">
        <f t="shared" si="41"/>
        <v>#N/A</v>
      </c>
      <c r="DW24" s="380" t="e">
        <f t="shared" si="41"/>
        <v>#N/A</v>
      </c>
      <c r="DX24" s="380" t="e">
        <f t="shared" si="41"/>
        <v>#N/A</v>
      </c>
      <c r="DY24" s="380" t="e">
        <f>SUM(DO24:DX24)</f>
        <v>#N/A</v>
      </c>
      <c r="DZ24" s="378" t="e">
        <f t="shared" si="42"/>
        <v>#N/A</v>
      </c>
      <c r="EA24" s="378" t="e">
        <f t="shared" si="42"/>
        <v>#N/A</v>
      </c>
      <c r="EB24" s="378" t="e">
        <f t="shared" si="42"/>
        <v>#N/A</v>
      </c>
      <c r="EC24" s="378" t="e">
        <f t="shared" si="42"/>
        <v>#N/A</v>
      </c>
      <c r="ED24" s="378" t="e">
        <f t="shared" si="42"/>
        <v>#N/A</v>
      </c>
      <c r="EE24" s="378" t="e">
        <f t="shared" si="42"/>
        <v>#N/A</v>
      </c>
      <c r="EF24" s="378" t="e">
        <f t="shared" si="42"/>
        <v>#N/A</v>
      </c>
      <c r="EG24" s="378" t="e">
        <f t="shared" si="42"/>
        <v>#N/A</v>
      </c>
      <c r="EH24" s="378" t="e">
        <f t="shared" si="42"/>
        <v>#N/A</v>
      </c>
      <c r="EI24" s="378" t="e">
        <f t="shared" si="42"/>
        <v>#N/A</v>
      </c>
      <c r="EJ24" s="354" t="e">
        <f>SUM(DZ24:EI24)</f>
        <v>#N/A</v>
      </c>
      <c r="EK24" s="380" t="e">
        <f t="shared" si="43"/>
        <v>#N/A</v>
      </c>
      <c r="EL24" s="380" t="e">
        <f t="shared" si="43"/>
        <v>#N/A</v>
      </c>
      <c r="EM24" s="380" t="e">
        <f t="shared" si="43"/>
        <v>#N/A</v>
      </c>
      <c r="EN24" s="380" t="e">
        <f t="shared" si="43"/>
        <v>#N/A</v>
      </c>
      <c r="EO24" s="380" t="e">
        <f t="shared" si="43"/>
        <v>#N/A</v>
      </c>
      <c r="EP24" s="380" t="e">
        <f t="shared" si="43"/>
        <v>#N/A</v>
      </c>
      <c r="EQ24" s="380" t="e">
        <f t="shared" si="43"/>
        <v>#N/A</v>
      </c>
      <c r="ER24" s="380" t="e">
        <f t="shared" si="43"/>
        <v>#N/A</v>
      </c>
      <c r="ES24" s="380" t="e">
        <f t="shared" si="43"/>
        <v>#N/A</v>
      </c>
      <c r="ET24" s="380" t="e">
        <f t="shared" si="43"/>
        <v>#N/A</v>
      </c>
      <c r="EU24" s="379" t="e">
        <f>SUM(EK24:ET24)</f>
        <v>#N/A</v>
      </c>
      <c r="EV24" s="382"/>
      <c r="EW24" s="382"/>
      <c r="EX24" s="382"/>
      <c r="EY24" s="382"/>
      <c r="EZ24" s="382"/>
      <c r="FA24" s="382"/>
      <c r="FB24" s="382"/>
      <c r="FE24" s="583"/>
      <c r="FF24" s="583"/>
      <c r="FG24" s="583"/>
      <c r="FH24" s="583"/>
    </row>
    <row r="25" spans="1:165" ht="35" customHeight="1" x14ac:dyDescent="0.3">
      <c r="A25" s="330"/>
      <c r="B25" s="318"/>
      <c r="C25" s="318"/>
      <c r="D25" s="318"/>
      <c r="E25" s="318"/>
      <c r="F25" s="318"/>
      <c r="G25" s="318"/>
      <c r="H25" s="318"/>
      <c r="I25" s="318"/>
      <c r="J25" s="318"/>
      <c r="K25" s="318"/>
      <c r="L25" s="318"/>
      <c r="M25" s="318"/>
      <c r="N25" s="318"/>
      <c r="O25" s="318"/>
      <c r="P25" s="318"/>
      <c r="Q25" s="318"/>
      <c r="R25" s="318"/>
      <c r="S25" s="318"/>
      <c r="T25" s="318"/>
      <c r="U25" s="318"/>
      <c r="V25" s="318"/>
      <c r="W25" s="318"/>
      <c r="X25" s="318"/>
      <c r="Y25" s="318"/>
      <c r="Z25" s="318"/>
      <c r="AA25" s="318"/>
      <c r="AB25" s="318"/>
      <c r="AC25" s="318"/>
      <c r="AD25" s="318"/>
      <c r="AE25" s="318"/>
      <c r="AF25" s="318"/>
      <c r="AG25" s="318"/>
      <c r="AH25" s="318"/>
      <c r="AI25" s="318"/>
      <c r="AJ25" s="318"/>
      <c r="AK25" s="318"/>
      <c r="AL25" s="318"/>
      <c r="AM25" s="317"/>
      <c r="AN25" s="318"/>
      <c r="AO25" s="513"/>
      <c r="AP25" s="513"/>
      <c r="AQ25" s="513"/>
      <c r="AR25" s="513"/>
      <c r="AS25" s="514"/>
      <c r="AT25" s="513"/>
      <c r="AU25" s="318"/>
      <c r="AV25" s="318"/>
      <c r="AW25" s="318"/>
      <c r="AX25" s="318"/>
      <c r="AY25" s="318"/>
      <c r="AZ25" s="318"/>
      <c r="BA25" s="318"/>
      <c r="BB25" s="318"/>
      <c r="BC25" s="318"/>
      <c r="BD25" s="318"/>
      <c r="BE25" s="318"/>
      <c r="BF25" s="318"/>
      <c r="BG25" s="333"/>
      <c r="BH25" s="333"/>
      <c r="BI25" s="333"/>
      <c r="BJ25" s="333"/>
      <c r="BK25" s="333"/>
      <c r="BL25" s="333"/>
      <c r="BM25" s="333"/>
      <c r="BN25" s="333"/>
      <c r="BO25" s="333"/>
      <c r="BP25" s="333"/>
      <c r="BQ25" s="333"/>
      <c r="BR25" s="333"/>
      <c r="BS25" s="333"/>
      <c r="BT25" s="334"/>
      <c r="BU25" s="335"/>
      <c r="BV25" s="346"/>
      <c r="BY25" s="376"/>
      <c r="BZ25" s="373"/>
      <c r="CA25" s="373"/>
      <c r="CB25" s="373"/>
      <c r="CC25" s="373"/>
      <c r="CD25" s="373"/>
      <c r="CE25" s="373"/>
      <c r="CF25" s="373"/>
      <c r="CG25" s="373"/>
      <c r="CH25" s="378" t="e">
        <f t="shared" si="5"/>
        <v>#N/A</v>
      </c>
      <c r="CI25" s="378" t="e">
        <f t="shared" si="6"/>
        <v>#N/A</v>
      </c>
      <c r="CJ25" s="378" t="e">
        <f t="shared" si="7"/>
        <v>#N/A</v>
      </c>
      <c r="CK25" s="378" t="e">
        <f t="shared" si="8"/>
        <v>#N/A</v>
      </c>
      <c r="CL25" s="378" t="e">
        <f t="shared" si="9"/>
        <v>#N/A</v>
      </c>
      <c r="CM25" s="378" t="e">
        <f t="shared" si="10"/>
        <v>#N/A</v>
      </c>
      <c r="CN25" s="378" t="e">
        <f t="shared" si="11"/>
        <v>#N/A</v>
      </c>
      <c r="CO25" s="378" t="e">
        <f t="shared" si="12"/>
        <v>#N/A</v>
      </c>
      <c r="CP25" s="378" t="e">
        <f t="shared" si="13"/>
        <v>#N/A</v>
      </c>
      <c r="CQ25" s="378" t="e">
        <f t="shared" si="14"/>
        <v>#N/A</v>
      </c>
      <c r="CR25" s="354" t="e">
        <f t="shared" ref="CR25:CR26" si="44">SUM(CH25:CQ25)</f>
        <v>#N/A</v>
      </c>
      <c r="CS25" s="379" t="e">
        <f>(HLOOKUP($AI25,'Inflation Adjustments'!$B$3:$BT$4,2,TRUE))*CH25</f>
        <v>#N/A</v>
      </c>
      <c r="CT25" s="379" t="e">
        <f>(HLOOKUP($AI25,'Inflation Adjustments'!$B$3:$BT$4,2,TRUE))*CI25</f>
        <v>#N/A</v>
      </c>
      <c r="CU25" s="379" t="e">
        <f>(HLOOKUP($AI25,'Inflation Adjustments'!$B$3:$BT$4,2,TRUE))*CJ25</f>
        <v>#N/A</v>
      </c>
      <c r="CV25" s="379" t="e">
        <f>(HLOOKUP($AI25,'Inflation Adjustments'!$B$3:$BT$4,2,TRUE))*CK25</f>
        <v>#N/A</v>
      </c>
      <c r="CW25" s="379" t="e">
        <f>(HLOOKUP($AI25,'Inflation Adjustments'!$B$3:$BT$4,2,TRUE))*CL25</f>
        <v>#N/A</v>
      </c>
      <c r="CX25" s="379" t="e">
        <f>(HLOOKUP($AI25,'Inflation Adjustments'!$B$3:$BT$4,2,TRUE))*CM25</f>
        <v>#N/A</v>
      </c>
      <c r="CY25" s="379" t="e">
        <f>(HLOOKUP($AI25,'Inflation Adjustments'!$B$3:$BT$4,2,TRUE))*CN25</f>
        <v>#N/A</v>
      </c>
      <c r="CZ25" s="379" t="e">
        <f>(HLOOKUP($AI25,'Inflation Adjustments'!$B$3:$BT$4,2,TRUE))*CO25</f>
        <v>#N/A</v>
      </c>
      <c r="DA25" s="379" t="e">
        <f>(HLOOKUP($AI25,'Inflation Adjustments'!$B$3:$BT$4,2,TRUE))*CP25</f>
        <v>#N/A</v>
      </c>
      <c r="DB25" s="379" t="e">
        <f>(HLOOKUP($AI25,'Inflation Adjustments'!$B$3:$BT$4,2,TRUE))*CQ25</f>
        <v>#N/A</v>
      </c>
      <c r="DC25" s="379" t="e">
        <f t="shared" si="40"/>
        <v>#N/A</v>
      </c>
      <c r="DD25" s="354">
        <f t="shared" si="15"/>
        <v>2022</v>
      </c>
      <c r="DE25" s="378" t="e">
        <f t="shared" si="16"/>
        <v>#N/A</v>
      </c>
      <c r="DF25" s="378" t="e">
        <f t="shared" si="17"/>
        <v>#N/A</v>
      </c>
      <c r="DG25" s="378" t="e">
        <f t="shared" si="18"/>
        <v>#N/A</v>
      </c>
      <c r="DH25" s="378" t="e">
        <f t="shared" si="19"/>
        <v>#N/A</v>
      </c>
      <c r="DI25" s="378" t="e">
        <f t="shared" si="20"/>
        <v>#N/A</v>
      </c>
      <c r="DJ25" s="378" t="e">
        <f t="shared" si="21"/>
        <v>#N/A</v>
      </c>
      <c r="DK25" s="378" t="e">
        <f t="shared" ref="DK25:DL34" si="45">(HLOOKUP(Z25,$CD$4:$CG$14,8,FALSE))</f>
        <v>#N/A</v>
      </c>
      <c r="DL25" s="378" t="e">
        <f t="shared" si="45"/>
        <v>#N/A</v>
      </c>
      <c r="DM25" s="378" t="e">
        <f t="shared" si="23"/>
        <v>#N/A</v>
      </c>
      <c r="DN25" s="378" t="e">
        <f t="shared" si="24"/>
        <v>#N/A</v>
      </c>
      <c r="DO25" s="380" t="e">
        <f t="shared" si="41"/>
        <v>#N/A</v>
      </c>
      <c r="DP25" s="380" t="e">
        <f t="shared" si="41"/>
        <v>#N/A</v>
      </c>
      <c r="DQ25" s="380" t="e">
        <f t="shared" si="41"/>
        <v>#N/A</v>
      </c>
      <c r="DR25" s="380" t="e">
        <f t="shared" si="41"/>
        <v>#N/A</v>
      </c>
      <c r="DS25" s="380" t="e">
        <f t="shared" si="41"/>
        <v>#N/A</v>
      </c>
      <c r="DT25" s="380" t="e">
        <f t="shared" si="41"/>
        <v>#N/A</v>
      </c>
      <c r="DU25" s="380" t="e">
        <f t="shared" si="41"/>
        <v>#N/A</v>
      </c>
      <c r="DV25" s="380" t="e">
        <f t="shared" si="41"/>
        <v>#N/A</v>
      </c>
      <c r="DW25" s="380" t="e">
        <f t="shared" si="41"/>
        <v>#N/A</v>
      </c>
      <c r="DX25" s="380" t="e">
        <f t="shared" si="41"/>
        <v>#N/A</v>
      </c>
      <c r="DY25" s="380" t="e">
        <f t="shared" ref="DY25:DY26" si="46">SUM(DO25:DX25)</f>
        <v>#N/A</v>
      </c>
      <c r="DZ25" s="378" t="e">
        <f t="shared" si="42"/>
        <v>#N/A</v>
      </c>
      <c r="EA25" s="378" t="e">
        <f t="shared" si="42"/>
        <v>#N/A</v>
      </c>
      <c r="EB25" s="378" t="e">
        <f t="shared" si="42"/>
        <v>#N/A</v>
      </c>
      <c r="EC25" s="378" t="e">
        <f t="shared" si="42"/>
        <v>#N/A</v>
      </c>
      <c r="ED25" s="378" t="e">
        <f t="shared" si="42"/>
        <v>#N/A</v>
      </c>
      <c r="EE25" s="378" t="e">
        <f t="shared" si="42"/>
        <v>#N/A</v>
      </c>
      <c r="EF25" s="378" t="e">
        <f t="shared" si="42"/>
        <v>#N/A</v>
      </c>
      <c r="EG25" s="378" t="e">
        <f t="shared" si="42"/>
        <v>#N/A</v>
      </c>
      <c r="EH25" s="378" t="e">
        <f t="shared" si="42"/>
        <v>#N/A</v>
      </c>
      <c r="EI25" s="378" t="e">
        <f t="shared" si="42"/>
        <v>#N/A</v>
      </c>
      <c r="EJ25" s="354" t="e">
        <f t="shared" ref="EJ25:EJ34" si="47">SUM(DZ25:EI25)</f>
        <v>#N/A</v>
      </c>
      <c r="EK25" s="380" t="e">
        <f t="shared" si="43"/>
        <v>#N/A</v>
      </c>
      <c r="EL25" s="380" t="e">
        <f t="shared" si="43"/>
        <v>#N/A</v>
      </c>
      <c r="EM25" s="380" t="e">
        <f t="shared" si="43"/>
        <v>#N/A</v>
      </c>
      <c r="EN25" s="380" t="e">
        <f t="shared" si="43"/>
        <v>#N/A</v>
      </c>
      <c r="EO25" s="380" t="e">
        <f t="shared" si="43"/>
        <v>#N/A</v>
      </c>
      <c r="EP25" s="380" t="e">
        <f t="shared" si="43"/>
        <v>#N/A</v>
      </c>
      <c r="EQ25" s="380" t="e">
        <f t="shared" si="43"/>
        <v>#N/A</v>
      </c>
      <c r="ER25" s="380" t="e">
        <f t="shared" si="43"/>
        <v>#N/A</v>
      </c>
      <c r="ES25" s="380" t="e">
        <f t="shared" si="43"/>
        <v>#N/A</v>
      </c>
      <c r="ET25" s="380" t="e">
        <f t="shared" si="43"/>
        <v>#N/A</v>
      </c>
      <c r="EU25" s="379" t="e">
        <f t="shared" ref="EU25:EU34" si="48">SUM(EK25:ET25)</f>
        <v>#N/A</v>
      </c>
      <c r="EV25" s="382"/>
      <c r="EW25" s="382"/>
      <c r="EX25" s="382"/>
      <c r="EY25" s="382"/>
      <c r="EZ25" s="382"/>
      <c r="FA25" s="382"/>
      <c r="FB25" s="382"/>
    </row>
    <row r="26" spans="1:165" ht="35" customHeight="1" x14ac:dyDescent="0.3">
      <c r="A26" s="330"/>
      <c r="B26" s="318"/>
      <c r="C26" s="318"/>
      <c r="D26" s="318"/>
      <c r="E26" s="318"/>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8"/>
      <c r="AM26" s="317"/>
      <c r="AN26" s="318"/>
      <c r="AO26" s="513"/>
      <c r="AP26" s="513"/>
      <c r="AQ26" s="513"/>
      <c r="AR26" s="513"/>
      <c r="AS26" s="514"/>
      <c r="AT26" s="513"/>
      <c r="AU26" s="318"/>
      <c r="AV26" s="318"/>
      <c r="AW26" s="318"/>
      <c r="AX26" s="318"/>
      <c r="AY26" s="318"/>
      <c r="AZ26" s="318"/>
      <c r="BA26" s="318"/>
      <c r="BB26" s="318"/>
      <c r="BC26" s="318"/>
      <c r="BD26" s="318"/>
      <c r="BE26" s="318"/>
      <c r="BF26" s="318"/>
      <c r="BG26" s="333"/>
      <c r="BH26" s="333"/>
      <c r="BI26" s="333"/>
      <c r="BJ26" s="333"/>
      <c r="BK26" s="333"/>
      <c r="BL26" s="333"/>
      <c r="BM26" s="333"/>
      <c r="BN26" s="333"/>
      <c r="BO26" s="333"/>
      <c r="BP26" s="333"/>
      <c r="BQ26" s="333"/>
      <c r="BR26" s="333"/>
      <c r="BS26" s="333"/>
      <c r="BT26" s="334"/>
      <c r="BU26" s="335"/>
      <c r="BV26" s="255"/>
      <c r="BY26" s="376"/>
      <c r="BZ26" s="373"/>
      <c r="CA26" s="373"/>
      <c r="CB26" s="373"/>
      <c r="CC26" s="373"/>
      <c r="CD26" s="373"/>
      <c r="CE26" s="373"/>
      <c r="CF26" s="373"/>
      <c r="CG26" s="373"/>
      <c r="CH26" s="378" t="e">
        <f t="shared" si="5"/>
        <v>#N/A</v>
      </c>
      <c r="CI26" s="378" t="e">
        <f t="shared" si="6"/>
        <v>#N/A</v>
      </c>
      <c r="CJ26" s="378" t="e">
        <f t="shared" si="7"/>
        <v>#N/A</v>
      </c>
      <c r="CK26" s="378" t="e">
        <f t="shared" si="8"/>
        <v>#N/A</v>
      </c>
      <c r="CL26" s="378" t="e">
        <f t="shared" si="9"/>
        <v>#N/A</v>
      </c>
      <c r="CM26" s="378" t="e">
        <f t="shared" si="10"/>
        <v>#N/A</v>
      </c>
      <c r="CN26" s="378" t="e">
        <f t="shared" si="11"/>
        <v>#N/A</v>
      </c>
      <c r="CO26" s="378" t="e">
        <f t="shared" si="12"/>
        <v>#N/A</v>
      </c>
      <c r="CP26" s="378" t="e">
        <f t="shared" si="13"/>
        <v>#N/A</v>
      </c>
      <c r="CQ26" s="378" t="e">
        <f t="shared" si="14"/>
        <v>#N/A</v>
      </c>
      <c r="CR26" s="354" t="e">
        <f t="shared" si="44"/>
        <v>#N/A</v>
      </c>
      <c r="CS26" s="379" t="e">
        <f>(HLOOKUP($AI26,'Inflation Adjustments'!$B$3:$BT$4,2,TRUE))*CH26</f>
        <v>#N/A</v>
      </c>
      <c r="CT26" s="379" t="e">
        <f>(HLOOKUP($AI26,'Inflation Adjustments'!$B$3:$BT$4,2,TRUE))*CI26</f>
        <v>#N/A</v>
      </c>
      <c r="CU26" s="379" t="e">
        <f>(HLOOKUP($AI26,'Inflation Adjustments'!$B$3:$BT$4,2,TRUE))*CJ26</f>
        <v>#N/A</v>
      </c>
      <c r="CV26" s="379" t="e">
        <f>(HLOOKUP($AI26,'Inflation Adjustments'!$B$3:$BT$4,2,TRUE))*CK26</f>
        <v>#N/A</v>
      </c>
      <c r="CW26" s="379" t="e">
        <f>(HLOOKUP($AI26,'Inflation Adjustments'!$B$3:$BT$4,2,TRUE))*CL26</f>
        <v>#N/A</v>
      </c>
      <c r="CX26" s="379" t="e">
        <f>(HLOOKUP($AI26,'Inflation Adjustments'!$B$3:$BT$4,2,TRUE))*CM26</f>
        <v>#N/A</v>
      </c>
      <c r="CY26" s="379" t="e">
        <f>(HLOOKUP($AI26,'Inflation Adjustments'!$B$3:$BT$4,2,TRUE))*CN26</f>
        <v>#N/A</v>
      </c>
      <c r="CZ26" s="379" t="e">
        <f>(HLOOKUP($AI26,'Inflation Adjustments'!$B$3:$BT$4,2,TRUE))*CO26</f>
        <v>#N/A</v>
      </c>
      <c r="DA26" s="379" t="e">
        <f>(HLOOKUP($AI26,'Inflation Adjustments'!$B$3:$BT$4,2,TRUE))*CP26</f>
        <v>#N/A</v>
      </c>
      <c r="DB26" s="379" t="e">
        <f>(HLOOKUP($AI26,'Inflation Adjustments'!$B$3:$BT$4,2,TRUE))*CQ26</f>
        <v>#N/A</v>
      </c>
      <c r="DC26" s="379" t="e">
        <f t="shared" si="40"/>
        <v>#N/A</v>
      </c>
      <c r="DD26" s="354">
        <f t="shared" si="15"/>
        <v>2022</v>
      </c>
      <c r="DE26" s="378" t="e">
        <f t="shared" si="16"/>
        <v>#N/A</v>
      </c>
      <c r="DF26" s="378" t="e">
        <f t="shared" si="17"/>
        <v>#N/A</v>
      </c>
      <c r="DG26" s="378" t="e">
        <f t="shared" si="18"/>
        <v>#N/A</v>
      </c>
      <c r="DH26" s="378" t="e">
        <f t="shared" si="19"/>
        <v>#N/A</v>
      </c>
      <c r="DI26" s="378" t="e">
        <f t="shared" si="20"/>
        <v>#N/A</v>
      </c>
      <c r="DJ26" s="378" t="e">
        <f t="shared" si="21"/>
        <v>#N/A</v>
      </c>
      <c r="DK26" s="378" t="e">
        <f t="shared" si="45"/>
        <v>#N/A</v>
      </c>
      <c r="DL26" s="378" t="e">
        <f t="shared" si="45"/>
        <v>#N/A</v>
      </c>
      <c r="DM26" s="378" t="e">
        <f t="shared" si="23"/>
        <v>#N/A</v>
      </c>
      <c r="DN26" s="378" t="e">
        <f t="shared" si="24"/>
        <v>#N/A</v>
      </c>
      <c r="DO26" s="380" t="e">
        <f t="shared" si="41"/>
        <v>#N/A</v>
      </c>
      <c r="DP26" s="380" t="e">
        <f t="shared" si="41"/>
        <v>#N/A</v>
      </c>
      <c r="DQ26" s="380" t="e">
        <f t="shared" si="41"/>
        <v>#N/A</v>
      </c>
      <c r="DR26" s="380" t="e">
        <f t="shared" si="41"/>
        <v>#N/A</v>
      </c>
      <c r="DS26" s="380" t="e">
        <f t="shared" si="41"/>
        <v>#N/A</v>
      </c>
      <c r="DT26" s="380" t="e">
        <f t="shared" si="41"/>
        <v>#N/A</v>
      </c>
      <c r="DU26" s="380" t="e">
        <f t="shared" si="41"/>
        <v>#N/A</v>
      </c>
      <c r="DV26" s="380" t="e">
        <f t="shared" si="41"/>
        <v>#N/A</v>
      </c>
      <c r="DW26" s="380" t="e">
        <f t="shared" si="41"/>
        <v>#N/A</v>
      </c>
      <c r="DX26" s="380" t="e">
        <f t="shared" si="41"/>
        <v>#N/A</v>
      </c>
      <c r="DY26" s="380" t="e">
        <f t="shared" si="46"/>
        <v>#N/A</v>
      </c>
      <c r="DZ26" s="378" t="e">
        <f t="shared" si="42"/>
        <v>#N/A</v>
      </c>
      <c r="EA26" s="378" t="e">
        <f t="shared" si="42"/>
        <v>#N/A</v>
      </c>
      <c r="EB26" s="378" t="e">
        <f t="shared" si="42"/>
        <v>#N/A</v>
      </c>
      <c r="EC26" s="378" t="e">
        <f t="shared" si="42"/>
        <v>#N/A</v>
      </c>
      <c r="ED26" s="378" t="e">
        <f t="shared" si="42"/>
        <v>#N/A</v>
      </c>
      <c r="EE26" s="378" t="e">
        <f t="shared" si="42"/>
        <v>#N/A</v>
      </c>
      <c r="EF26" s="378" t="e">
        <f t="shared" si="42"/>
        <v>#N/A</v>
      </c>
      <c r="EG26" s="378" t="e">
        <f t="shared" si="42"/>
        <v>#N/A</v>
      </c>
      <c r="EH26" s="378" t="e">
        <f t="shared" si="42"/>
        <v>#N/A</v>
      </c>
      <c r="EI26" s="378" t="e">
        <f t="shared" si="42"/>
        <v>#N/A</v>
      </c>
      <c r="EJ26" s="354" t="e">
        <f t="shared" si="47"/>
        <v>#N/A</v>
      </c>
      <c r="EK26" s="380" t="e">
        <f t="shared" si="43"/>
        <v>#N/A</v>
      </c>
      <c r="EL26" s="380" t="e">
        <f t="shared" si="43"/>
        <v>#N/A</v>
      </c>
      <c r="EM26" s="380" t="e">
        <f t="shared" si="43"/>
        <v>#N/A</v>
      </c>
      <c r="EN26" s="380" t="e">
        <f t="shared" si="43"/>
        <v>#N/A</v>
      </c>
      <c r="EO26" s="380" t="e">
        <f t="shared" si="43"/>
        <v>#N/A</v>
      </c>
      <c r="EP26" s="380" t="e">
        <f t="shared" si="43"/>
        <v>#N/A</v>
      </c>
      <c r="EQ26" s="380" t="e">
        <f t="shared" si="43"/>
        <v>#N/A</v>
      </c>
      <c r="ER26" s="380" t="e">
        <f t="shared" si="43"/>
        <v>#N/A</v>
      </c>
      <c r="ES26" s="380" t="e">
        <f t="shared" si="43"/>
        <v>#N/A</v>
      </c>
      <c r="ET26" s="380" t="e">
        <f t="shared" si="43"/>
        <v>#N/A</v>
      </c>
      <c r="EU26" s="379" t="e">
        <f t="shared" si="48"/>
        <v>#N/A</v>
      </c>
      <c r="EV26" s="382"/>
      <c r="EW26" s="382"/>
      <c r="EX26" s="382"/>
      <c r="EY26" s="382"/>
      <c r="EZ26" s="382"/>
      <c r="FA26" s="382"/>
      <c r="FB26" s="382"/>
    </row>
    <row r="27" spans="1:165" ht="43" customHeight="1" x14ac:dyDescent="0.3">
      <c r="A27" s="318"/>
      <c r="B27" s="318"/>
      <c r="C27" s="318"/>
      <c r="D27" s="318"/>
      <c r="E27" s="318"/>
      <c r="F27" s="318"/>
      <c r="G27" s="318"/>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18"/>
      <c r="AM27" s="317"/>
      <c r="AN27" s="318"/>
      <c r="AO27" s="513"/>
      <c r="AP27" s="513"/>
      <c r="AQ27" s="513"/>
      <c r="AR27" s="513"/>
      <c r="AS27" s="514"/>
      <c r="AT27" s="513"/>
      <c r="AU27" s="318"/>
      <c r="AV27" s="318"/>
      <c r="AW27" s="318"/>
      <c r="AX27" s="318"/>
      <c r="AY27" s="318"/>
      <c r="AZ27" s="318"/>
      <c r="BA27" s="318"/>
      <c r="BB27" s="318"/>
      <c r="BC27" s="318"/>
      <c r="BD27" s="318"/>
      <c r="BE27" s="318"/>
      <c r="BF27" s="318"/>
      <c r="BG27" s="333"/>
      <c r="BH27" s="333"/>
      <c r="BI27" s="333"/>
      <c r="BJ27" s="333"/>
      <c r="BK27" s="333"/>
      <c r="BL27" s="333"/>
      <c r="BM27" s="333"/>
      <c r="BN27" s="333"/>
      <c r="BO27" s="333"/>
      <c r="BP27" s="333"/>
      <c r="BQ27" s="333"/>
      <c r="BR27" s="333"/>
      <c r="BS27" s="333"/>
      <c r="BT27" s="334"/>
      <c r="BU27" s="335"/>
      <c r="BV27" s="255"/>
      <c r="BY27" s="376"/>
      <c r="BZ27" s="373"/>
      <c r="CA27" s="373"/>
      <c r="CB27" s="373"/>
      <c r="CC27" s="373"/>
      <c r="CD27" s="373"/>
      <c r="CE27" s="373"/>
      <c r="CF27" s="373"/>
      <c r="CG27" s="373"/>
      <c r="CH27" s="378" t="e">
        <f t="shared" si="5"/>
        <v>#N/A</v>
      </c>
      <c r="CI27" s="378" t="e">
        <f t="shared" si="6"/>
        <v>#N/A</v>
      </c>
      <c r="CJ27" s="378" t="e">
        <f t="shared" si="7"/>
        <v>#N/A</v>
      </c>
      <c r="CK27" s="378" t="e">
        <f t="shared" si="8"/>
        <v>#N/A</v>
      </c>
      <c r="CL27" s="378" t="e">
        <f t="shared" si="9"/>
        <v>#N/A</v>
      </c>
      <c r="CM27" s="378" t="e">
        <f t="shared" si="10"/>
        <v>#N/A</v>
      </c>
      <c r="CN27" s="378" t="e">
        <f t="shared" si="11"/>
        <v>#N/A</v>
      </c>
      <c r="CO27" s="378" t="e">
        <f t="shared" si="12"/>
        <v>#N/A</v>
      </c>
      <c r="CP27" s="378" t="e">
        <f t="shared" si="13"/>
        <v>#N/A</v>
      </c>
      <c r="CQ27" s="378" t="e">
        <f t="shared" si="14"/>
        <v>#N/A</v>
      </c>
      <c r="CR27" s="354" t="e">
        <f t="shared" ref="CR27:CR30" si="49">SUM(CH27:CQ27)</f>
        <v>#N/A</v>
      </c>
      <c r="CS27" s="379" t="e">
        <f>(HLOOKUP($AI27,'Inflation Adjustments'!$B$3:$BT$4,2,TRUE))*CH27</f>
        <v>#N/A</v>
      </c>
      <c r="CT27" s="379" t="e">
        <f>(HLOOKUP($AI27,'Inflation Adjustments'!$B$3:$BT$4,2,TRUE))*CI27</f>
        <v>#N/A</v>
      </c>
      <c r="CU27" s="379" t="e">
        <f>(HLOOKUP($AI27,'Inflation Adjustments'!$B$3:$BT$4,2,TRUE))*CJ27</f>
        <v>#N/A</v>
      </c>
      <c r="CV27" s="379" t="e">
        <f>(HLOOKUP($AI27,'Inflation Adjustments'!$B$3:$BT$4,2,TRUE))*CK27</f>
        <v>#N/A</v>
      </c>
      <c r="CW27" s="379" t="e">
        <f>(HLOOKUP($AI27,'Inflation Adjustments'!$B$3:$BT$4,2,TRUE))*CL27</f>
        <v>#N/A</v>
      </c>
      <c r="CX27" s="379" t="e">
        <f>(HLOOKUP($AI27,'Inflation Adjustments'!$B$3:$BT$4,2,TRUE))*CM27</f>
        <v>#N/A</v>
      </c>
      <c r="CY27" s="379" t="e">
        <f>(HLOOKUP($AI27,'Inflation Adjustments'!$B$3:$BT$4,2,TRUE))*CN27</f>
        <v>#N/A</v>
      </c>
      <c r="CZ27" s="379" t="e">
        <f>(HLOOKUP($AI27,'Inflation Adjustments'!$B$3:$BT$4,2,TRUE))*CO27</f>
        <v>#N/A</v>
      </c>
      <c r="DA27" s="379" t="e">
        <f>(HLOOKUP($AI27,'Inflation Adjustments'!$B$3:$BT$4,2,TRUE))*CP27</f>
        <v>#N/A</v>
      </c>
      <c r="DB27" s="379" t="e">
        <f>(HLOOKUP($AI27,'Inflation Adjustments'!$B$3:$BT$4,2,TRUE))*CQ27</f>
        <v>#N/A</v>
      </c>
      <c r="DC27" s="379" t="e">
        <f t="shared" si="40"/>
        <v>#N/A</v>
      </c>
      <c r="DD27" s="354">
        <f t="shared" si="15"/>
        <v>2022</v>
      </c>
      <c r="DE27" s="378" t="e">
        <f t="shared" si="16"/>
        <v>#N/A</v>
      </c>
      <c r="DF27" s="378" t="e">
        <f t="shared" si="17"/>
        <v>#N/A</v>
      </c>
      <c r="DG27" s="378" t="e">
        <f t="shared" si="18"/>
        <v>#N/A</v>
      </c>
      <c r="DH27" s="378" t="e">
        <f t="shared" si="19"/>
        <v>#N/A</v>
      </c>
      <c r="DI27" s="378" t="e">
        <f t="shared" si="20"/>
        <v>#N/A</v>
      </c>
      <c r="DJ27" s="378" t="e">
        <f t="shared" si="21"/>
        <v>#N/A</v>
      </c>
      <c r="DK27" s="378" t="e">
        <f t="shared" si="45"/>
        <v>#N/A</v>
      </c>
      <c r="DL27" s="378" t="e">
        <f t="shared" si="45"/>
        <v>#N/A</v>
      </c>
      <c r="DM27" s="378" t="e">
        <f t="shared" si="23"/>
        <v>#N/A</v>
      </c>
      <c r="DN27" s="378" t="e">
        <f t="shared" si="24"/>
        <v>#N/A</v>
      </c>
      <c r="DO27" s="380" t="e">
        <f t="shared" si="41"/>
        <v>#N/A</v>
      </c>
      <c r="DP27" s="380" t="e">
        <f t="shared" si="41"/>
        <v>#N/A</v>
      </c>
      <c r="DQ27" s="380" t="e">
        <f t="shared" si="41"/>
        <v>#N/A</v>
      </c>
      <c r="DR27" s="380" t="e">
        <f t="shared" si="41"/>
        <v>#N/A</v>
      </c>
      <c r="DS27" s="380" t="e">
        <f t="shared" si="41"/>
        <v>#N/A</v>
      </c>
      <c r="DT27" s="380" t="e">
        <f t="shared" si="41"/>
        <v>#N/A</v>
      </c>
      <c r="DU27" s="380" t="e">
        <f t="shared" si="41"/>
        <v>#N/A</v>
      </c>
      <c r="DV27" s="380" t="e">
        <f t="shared" si="41"/>
        <v>#N/A</v>
      </c>
      <c r="DW27" s="380" t="e">
        <f t="shared" si="41"/>
        <v>#N/A</v>
      </c>
      <c r="DX27" s="380" t="e">
        <f t="shared" si="41"/>
        <v>#N/A</v>
      </c>
      <c r="DY27" s="380" t="e">
        <f t="shared" ref="DY27:DY30" si="50">SUM(DO27:DX27)</f>
        <v>#N/A</v>
      </c>
      <c r="DZ27" s="378" t="e">
        <f t="shared" si="42"/>
        <v>#N/A</v>
      </c>
      <c r="EA27" s="378" t="e">
        <f t="shared" si="42"/>
        <v>#N/A</v>
      </c>
      <c r="EB27" s="378" t="e">
        <f t="shared" si="42"/>
        <v>#N/A</v>
      </c>
      <c r="EC27" s="378" t="e">
        <f t="shared" si="42"/>
        <v>#N/A</v>
      </c>
      <c r="ED27" s="378" t="e">
        <f t="shared" si="42"/>
        <v>#N/A</v>
      </c>
      <c r="EE27" s="378" t="e">
        <f t="shared" si="42"/>
        <v>#N/A</v>
      </c>
      <c r="EF27" s="378" t="e">
        <f t="shared" si="42"/>
        <v>#N/A</v>
      </c>
      <c r="EG27" s="378" t="e">
        <f t="shared" si="42"/>
        <v>#N/A</v>
      </c>
      <c r="EH27" s="378" t="e">
        <f t="shared" si="42"/>
        <v>#N/A</v>
      </c>
      <c r="EI27" s="378" t="e">
        <f t="shared" si="42"/>
        <v>#N/A</v>
      </c>
      <c r="EJ27" s="354" t="e">
        <f t="shared" si="47"/>
        <v>#N/A</v>
      </c>
      <c r="EK27" s="380" t="e">
        <f t="shared" si="43"/>
        <v>#N/A</v>
      </c>
      <c r="EL27" s="380" t="e">
        <f t="shared" si="43"/>
        <v>#N/A</v>
      </c>
      <c r="EM27" s="380" t="e">
        <f t="shared" si="43"/>
        <v>#N/A</v>
      </c>
      <c r="EN27" s="380" t="e">
        <f t="shared" si="43"/>
        <v>#N/A</v>
      </c>
      <c r="EO27" s="380" t="e">
        <f t="shared" si="43"/>
        <v>#N/A</v>
      </c>
      <c r="EP27" s="380" t="e">
        <f t="shared" si="43"/>
        <v>#N/A</v>
      </c>
      <c r="EQ27" s="380" t="e">
        <f t="shared" si="43"/>
        <v>#N/A</v>
      </c>
      <c r="ER27" s="380" t="e">
        <f t="shared" si="43"/>
        <v>#N/A</v>
      </c>
      <c r="ES27" s="380" t="e">
        <f t="shared" si="43"/>
        <v>#N/A</v>
      </c>
      <c r="ET27" s="380" t="e">
        <f t="shared" si="43"/>
        <v>#N/A</v>
      </c>
      <c r="EU27" s="379" t="e">
        <f t="shared" si="48"/>
        <v>#N/A</v>
      </c>
      <c r="EV27" s="382"/>
      <c r="EW27" s="382"/>
      <c r="EX27" s="382"/>
      <c r="EY27" s="382"/>
      <c r="EZ27" s="382"/>
      <c r="FA27" s="382"/>
      <c r="FB27" s="382"/>
    </row>
    <row r="28" spans="1:165" ht="35" customHeight="1" x14ac:dyDescent="0.3">
      <c r="A28" s="318"/>
      <c r="B28" s="318"/>
      <c r="C28" s="318"/>
      <c r="D28" s="318"/>
      <c r="E28" s="318"/>
      <c r="F28" s="318"/>
      <c r="G28" s="318"/>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18"/>
      <c r="AM28" s="317"/>
      <c r="AN28" s="318"/>
      <c r="AO28" s="513"/>
      <c r="AP28" s="513"/>
      <c r="AQ28" s="513"/>
      <c r="AR28" s="513"/>
      <c r="AS28" s="514"/>
      <c r="AT28" s="513"/>
      <c r="AU28" s="318"/>
      <c r="AV28" s="318"/>
      <c r="AW28" s="318"/>
      <c r="AX28" s="318"/>
      <c r="AY28" s="318"/>
      <c r="AZ28" s="318"/>
      <c r="BA28" s="318"/>
      <c r="BB28" s="318"/>
      <c r="BC28" s="318"/>
      <c r="BD28" s="318"/>
      <c r="BE28" s="318"/>
      <c r="BF28" s="318"/>
      <c r="BG28" s="333"/>
      <c r="BH28" s="333"/>
      <c r="BI28" s="333"/>
      <c r="BJ28" s="333"/>
      <c r="BK28" s="333"/>
      <c r="BL28" s="333"/>
      <c r="BM28" s="333"/>
      <c r="BN28" s="333"/>
      <c r="BO28" s="333"/>
      <c r="BP28" s="333"/>
      <c r="BQ28" s="333"/>
      <c r="BR28" s="333"/>
      <c r="BS28" s="333"/>
      <c r="BT28" s="334"/>
      <c r="BU28" s="335"/>
      <c r="BV28" s="144"/>
      <c r="BY28" s="376"/>
      <c r="BZ28" s="373"/>
      <c r="CA28" s="373"/>
      <c r="CB28" s="373"/>
      <c r="CC28" s="373"/>
      <c r="CD28" s="373"/>
      <c r="CE28" s="373"/>
      <c r="CF28" s="373"/>
      <c r="CG28" s="373"/>
      <c r="CH28" s="378" t="e">
        <f t="shared" si="5"/>
        <v>#N/A</v>
      </c>
      <c r="CI28" s="378" t="e">
        <f t="shared" si="6"/>
        <v>#N/A</v>
      </c>
      <c r="CJ28" s="378" t="e">
        <f t="shared" si="7"/>
        <v>#N/A</v>
      </c>
      <c r="CK28" s="378" t="e">
        <f t="shared" si="8"/>
        <v>#N/A</v>
      </c>
      <c r="CL28" s="378" t="e">
        <f t="shared" si="9"/>
        <v>#N/A</v>
      </c>
      <c r="CM28" s="378" t="e">
        <f t="shared" si="10"/>
        <v>#N/A</v>
      </c>
      <c r="CN28" s="378" t="e">
        <f t="shared" si="11"/>
        <v>#N/A</v>
      </c>
      <c r="CO28" s="378" t="e">
        <f t="shared" si="12"/>
        <v>#N/A</v>
      </c>
      <c r="CP28" s="378" t="e">
        <f t="shared" si="13"/>
        <v>#N/A</v>
      </c>
      <c r="CQ28" s="378" t="e">
        <f t="shared" si="14"/>
        <v>#N/A</v>
      </c>
      <c r="CR28" s="354" t="e">
        <f t="shared" si="49"/>
        <v>#N/A</v>
      </c>
      <c r="CS28" s="379" t="e">
        <f>(HLOOKUP($AI28,'Inflation Adjustments'!$B$3:$BT$4,2,TRUE))*CH28</f>
        <v>#N/A</v>
      </c>
      <c r="CT28" s="379" t="e">
        <f>(HLOOKUP($AI28,'Inflation Adjustments'!$B$3:$BT$4,2,TRUE))*CI28</f>
        <v>#N/A</v>
      </c>
      <c r="CU28" s="379" t="e">
        <f>(HLOOKUP($AI28,'Inflation Adjustments'!$B$3:$BT$4,2,TRUE))*CJ28</f>
        <v>#N/A</v>
      </c>
      <c r="CV28" s="379" t="e">
        <f>(HLOOKUP($AI28,'Inflation Adjustments'!$B$3:$BT$4,2,TRUE))*CK28</f>
        <v>#N/A</v>
      </c>
      <c r="CW28" s="379" t="e">
        <f>(HLOOKUP($AI28,'Inflation Adjustments'!$B$3:$BT$4,2,TRUE))*CL28</f>
        <v>#N/A</v>
      </c>
      <c r="CX28" s="379" t="e">
        <f>(HLOOKUP($AI28,'Inflation Adjustments'!$B$3:$BT$4,2,TRUE))*CM28</f>
        <v>#N/A</v>
      </c>
      <c r="CY28" s="379" t="e">
        <f>(HLOOKUP($AI28,'Inflation Adjustments'!$B$3:$BT$4,2,TRUE))*CN28</f>
        <v>#N/A</v>
      </c>
      <c r="CZ28" s="379" t="e">
        <f>(HLOOKUP($AI28,'Inflation Adjustments'!$B$3:$BT$4,2,TRUE))*CO28</f>
        <v>#N/A</v>
      </c>
      <c r="DA28" s="379" t="e">
        <f>(HLOOKUP($AI28,'Inflation Adjustments'!$B$3:$BT$4,2,TRUE))*CP28</f>
        <v>#N/A</v>
      </c>
      <c r="DB28" s="379" t="e">
        <f>(HLOOKUP($AI28,'Inflation Adjustments'!$B$3:$BT$4,2,TRUE))*CQ28</f>
        <v>#N/A</v>
      </c>
      <c r="DC28" s="379" t="e">
        <f t="shared" si="40"/>
        <v>#N/A</v>
      </c>
      <c r="DD28" s="354">
        <f t="shared" si="15"/>
        <v>2022</v>
      </c>
      <c r="DE28" s="378" t="e">
        <f t="shared" si="16"/>
        <v>#N/A</v>
      </c>
      <c r="DF28" s="378" t="e">
        <f t="shared" si="17"/>
        <v>#N/A</v>
      </c>
      <c r="DG28" s="378" t="e">
        <f t="shared" si="18"/>
        <v>#N/A</v>
      </c>
      <c r="DH28" s="378" t="e">
        <f t="shared" si="19"/>
        <v>#N/A</v>
      </c>
      <c r="DI28" s="378" t="e">
        <f t="shared" si="20"/>
        <v>#N/A</v>
      </c>
      <c r="DJ28" s="378" t="e">
        <f t="shared" si="21"/>
        <v>#N/A</v>
      </c>
      <c r="DK28" s="378" t="e">
        <f t="shared" si="45"/>
        <v>#N/A</v>
      </c>
      <c r="DL28" s="378" t="e">
        <f t="shared" si="45"/>
        <v>#N/A</v>
      </c>
      <c r="DM28" s="378" t="e">
        <f t="shared" si="23"/>
        <v>#N/A</v>
      </c>
      <c r="DN28" s="378" t="e">
        <f t="shared" si="24"/>
        <v>#N/A</v>
      </c>
      <c r="DO28" s="380" t="e">
        <f t="shared" si="41"/>
        <v>#N/A</v>
      </c>
      <c r="DP28" s="380" t="e">
        <f t="shared" si="41"/>
        <v>#N/A</v>
      </c>
      <c r="DQ28" s="380" t="e">
        <f t="shared" si="41"/>
        <v>#N/A</v>
      </c>
      <c r="DR28" s="380" t="e">
        <f t="shared" si="41"/>
        <v>#N/A</v>
      </c>
      <c r="DS28" s="380" t="e">
        <f t="shared" si="41"/>
        <v>#N/A</v>
      </c>
      <c r="DT28" s="380" t="e">
        <f t="shared" si="41"/>
        <v>#N/A</v>
      </c>
      <c r="DU28" s="380" t="e">
        <f t="shared" si="41"/>
        <v>#N/A</v>
      </c>
      <c r="DV28" s="380" t="e">
        <f t="shared" si="41"/>
        <v>#N/A</v>
      </c>
      <c r="DW28" s="380" t="e">
        <f t="shared" si="41"/>
        <v>#N/A</v>
      </c>
      <c r="DX28" s="380" t="e">
        <f t="shared" si="41"/>
        <v>#N/A</v>
      </c>
      <c r="DY28" s="380" t="e">
        <f t="shared" si="50"/>
        <v>#N/A</v>
      </c>
      <c r="DZ28" s="378" t="e">
        <f t="shared" si="42"/>
        <v>#N/A</v>
      </c>
      <c r="EA28" s="378" t="e">
        <f t="shared" si="42"/>
        <v>#N/A</v>
      </c>
      <c r="EB28" s="378" t="e">
        <f t="shared" si="42"/>
        <v>#N/A</v>
      </c>
      <c r="EC28" s="378" t="e">
        <f t="shared" si="42"/>
        <v>#N/A</v>
      </c>
      <c r="ED28" s="378" t="e">
        <f t="shared" si="42"/>
        <v>#N/A</v>
      </c>
      <c r="EE28" s="378" t="e">
        <f t="shared" si="42"/>
        <v>#N/A</v>
      </c>
      <c r="EF28" s="378" t="e">
        <f t="shared" si="42"/>
        <v>#N/A</v>
      </c>
      <c r="EG28" s="378" t="e">
        <f t="shared" si="42"/>
        <v>#N/A</v>
      </c>
      <c r="EH28" s="378" t="e">
        <f t="shared" si="42"/>
        <v>#N/A</v>
      </c>
      <c r="EI28" s="378" t="e">
        <f t="shared" si="42"/>
        <v>#N/A</v>
      </c>
      <c r="EJ28" s="354" t="e">
        <f t="shared" si="47"/>
        <v>#N/A</v>
      </c>
      <c r="EK28" s="380" t="e">
        <f t="shared" si="43"/>
        <v>#N/A</v>
      </c>
      <c r="EL28" s="380" t="e">
        <f t="shared" si="43"/>
        <v>#N/A</v>
      </c>
      <c r="EM28" s="380" t="e">
        <f t="shared" si="43"/>
        <v>#N/A</v>
      </c>
      <c r="EN28" s="380" t="e">
        <f t="shared" si="43"/>
        <v>#N/A</v>
      </c>
      <c r="EO28" s="380" t="e">
        <f t="shared" si="43"/>
        <v>#N/A</v>
      </c>
      <c r="EP28" s="380" t="e">
        <f t="shared" si="43"/>
        <v>#N/A</v>
      </c>
      <c r="EQ28" s="380" t="e">
        <f t="shared" si="43"/>
        <v>#N/A</v>
      </c>
      <c r="ER28" s="380" t="e">
        <f t="shared" si="43"/>
        <v>#N/A</v>
      </c>
      <c r="ES28" s="380" t="e">
        <f t="shared" si="43"/>
        <v>#N/A</v>
      </c>
      <c r="ET28" s="380" t="e">
        <f t="shared" si="43"/>
        <v>#N/A</v>
      </c>
      <c r="EU28" s="379" t="e">
        <f t="shared" si="48"/>
        <v>#N/A</v>
      </c>
      <c r="EV28" s="382"/>
      <c r="EW28" s="382"/>
      <c r="EX28" s="382"/>
      <c r="EY28" s="382"/>
      <c r="EZ28" s="382"/>
      <c r="FA28" s="382"/>
      <c r="FB28" s="382"/>
    </row>
    <row r="29" spans="1:165" ht="35" customHeight="1" x14ac:dyDescent="0.3">
      <c r="A29" s="318"/>
      <c r="B29" s="318"/>
      <c r="C29" s="318"/>
      <c r="D29" s="318"/>
      <c r="E29" s="318"/>
      <c r="F29" s="318"/>
      <c r="G29" s="318"/>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18"/>
      <c r="AL29" s="318"/>
      <c r="AM29" s="317"/>
      <c r="AN29" s="318"/>
      <c r="AO29" s="513"/>
      <c r="AP29" s="513"/>
      <c r="AQ29" s="513"/>
      <c r="AR29" s="513"/>
      <c r="AS29" s="514"/>
      <c r="AT29" s="513"/>
      <c r="AU29" s="318"/>
      <c r="AV29" s="318"/>
      <c r="AW29" s="318"/>
      <c r="AX29" s="318"/>
      <c r="AY29" s="318"/>
      <c r="AZ29" s="318"/>
      <c r="BA29" s="318"/>
      <c r="BB29" s="318"/>
      <c r="BC29" s="318"/>
      <c r="BD29" s="318"/>
      <c r="BE29" s="318"/>
      <c r="BF29" s="318"/>
      <c r="BG29" s="333"/>
      <c r="BH29" s="333"/>
      <c r="BI29" s="333"/>
      <c r="BJ29" s="333"/>
      <c r="BK29" s="333"/>
      <c r="BL29" s="333"/>
      <c r="BM29" s="333"/>
      <c r="BN29" s="333"/>
      <c r="BO29" s="333"/>
      <c r="BP29" s="333"/>
      <c r="BQ29" s="333"/>
      <c r="BR29" s="333"/>
      <c r="BS29" s="333"/>
      <c r="BT29" s="334"/>
      <c r="BU29" s="335"/>
      <c r="BV29" s="144"/>
      <c r="BY29" s="376"/>
      <c r="BZ29" s="373"/>
      <c r="CA29" s="373"/>
      <c r="CB29" s="373"/>
      <c r="CC29" s="373"/>
      <c r="CD29" s="373"/>
      <c r="CE29" s="373"/>
      <c r="CF29" s="373"/>
      <c r="CG29" s="373"/>
      <c r="CH29" s="378" t="e">
        <f t="shared" si="5"/>
        <v>#N/A</v>
      </c>
      <c r="CI29" s="378" t="e">
        <f t="shared" si="6"/>
        <v>#N/A</v>
      </c>
      <c r="CJ29" s="378" t="e">
        <f t="shared" si="7"/>
        <v>#N/A</v>
      </c>
      <c r="CK29" s="378" t="e">
        <f t="shared" si="8"/>
        <v>#N/A</v>
      </c>
      <c r="CL29" s="378" t="e">
        <f t="shared" si="9"/>
        <v>#N/A</v>
      </c>
      <c r="CM29" s="378" t="e">
        <f t="shared" si="10"/>
        <v>#N/A</v>
      </c>
      <c r="CN29" s="378" t="e">
        <f t="shared" si="11"/>
        <v>#N/A</v>
      </c>
      <c r="CO29" s="378" t="e">
        <f t="shared" si="12"/>
        <v>#N/A</v>
      </c>
      <c r="CP29" s="378" t="e">
        <f t="shared" si="13"/>
        <v>#N/A</v>
      </c>
      <c r="CQ29" s="378" t="e">
        <f t="shared" si="14"/>
        <v>#N/A</v>
      </c>
      <c r="CR29" s="354" t="e">
        <f t="shared" si="49"/>
        <v>#N/A</v>
      </c>
      <c r="CS29" s="379" t="e">
        <f>(HLOOKUP($AI29,'Inflation Adjustments'!$B$3:$BT$4,2,TRUE))*CH29</f>
        <v>#N/A</v>
      </c>
      <c r="CT29" s="379" t="e">
        <f>(HLOOKUP($AI29,'Inflation Adjustments'!$B$3:$BT$4,2,TRUE))*CI29</f>
        <v>#N/A</v>
      </c>
      <c r="CU29" s="379" t="e">
        <f>(HLOOKUP($AI29,'Inflation Adjustments'!$B$3:$BT$4,2,TRUE))*CJ29</f>
        <v>#N/A</v>
      </c>
      <c r="CV29" s="379" t="e">
        <f>(HLOOKUP($AI29,'Inflation Adjustments'!$B$3:$BT$4,2,TRUE))*CK29</f>
        <v>#N/A</v>
      </c>
      <c r="CW29" s="379" t="e">
        <f>(HLOOKUP($AI29,'Inflation Adjustments'!$B$3:$BT$4,2,TRUE))*CL29</f>
        <v>#N/A</v>
      </c>
      <c r="CX29" s="379" t="e">
        <f>(HLOOKUP($AI29,'Inflation Adjustments'!$B$3:$BT$4,2,TRUE))*CM29</f>
        <v>#N/A</v>
      </c>
      <c r="CY29" s="379" t="e">
        <f>(HLOOKUP($AI29,'Inflation Adjustments'!$B$3:$BT$4,2,TRUE))*CN29</f>
        <v>#N/A</v>
      </c>
      <c r="CZ29" s="379" t="e">
        <f>(HLOOKUP($AI29,'Inflation Adjustments'!$B$3:$BT$4,2,TRUE))*CO29</f>
        <v>#N/A</v>
      </c>
      <c r="DA29" s="379" t="e">
        <f>(HLOOKUP($AI29,'Inflation Adjustments'!$B$3:$BT$4,2,TRUE))*CP29</f>
        <v>#N/A</v>
      </c>
      <c r="DB29" s="379" t="e">
        <f>(HLOOKUP($AI29,'Inflation Adjustments'!$B$3:$BT$4,2,TRUE))*CQ29</f>
        <v>#N/A</v>
      </c>
      <c r="DC29" s="379" t="e">
        <f t="shared" si="40"/>
        <v>#N/A</v>
      </c>
      <c r="DD29" s="354">
        <f t="shared" si="15"/>
        <v>2022</v>
      </c>
      <c r="DE29" s="378" t="e">
        <f t="shared" si="16"/>
        <v>#N/A</v>
      </c>
      <c r="DF29" s="378" t="e">
        <f t="shared" si="17"/>
        <v>#N/A</v>
      </c>
      <c r="DG29" s="378" t="e">
        <f t="shared" si="18"/>
        <v>#N/A</v>
      </c>
      <c r="DH29" s="378" t="e">
        <f t="shared" si="19"/>
        <v>#N/A</v>
      </c>
      <c r="DI29" s="378" t="e">
        <f t="shared" si="20"/>
        <v>#N/A</v>
      </c>
      <c r="DJ29" s="378" t="e">
        <f t="shared" si="21"/>
        <v>#N/A</v>
      </c>
      <c r="DK29" s="378" t="e">
        <f t="shared" si="45"/>
        <v>#N/A</v>
      </c>
      <c r="DL29" s="378" t="e">
        <f t="shared" si="45"/>
        <v>#N/A</v>
      </c>
      <c r="DM29" s="378" t="e">
        <f t="shared" si="23"/>
        <v>#N/A</v>
      </c>
      <c r="DN29" s="378" t="e">
        <f t="shared" si="24"/>
        <v>#N/A</v>
      </c>
      <c r="DO29" s="380" t="e">
        <f t="shared" si="41"/>
        <v>#N/A</v>
      </c>
      <c r="DP29" s="380" t="e">
        <f t="shared" si="41"/>
        <v>#N/A</v>
      </c>
      <c r="DQ29" s="380" t="e">
        <f t="shared" si="41"/>
        <v>#N/A</v>
      </c>
      <c r="DR29" s="380" t="e">
        <f t="shared" si="41"/>
        <v>#N/A</v>
      </c>
      <c r="DS29" s="380" t="e">
        <f t="shared" si="41"/>
        <v>#N/A</v>
      </c>
      <c r="DT29" s="380" t="e">
        <f t="shared" si="41"/>
        <v>#N/A</v>
      </c>
      <c r="DU29" s="380" t="e">
        <f t="shared" si="41"/>
        <v>#N/A</v>
      </c>
      <c r="DV29" s="380" t="e">
        <f t="shared" si="41"/>
        <v>#N/A</v>
      </c>
      <c r="DW29" s="380" t="e">
        <f t="shared" si="41"/>
        <v>#N/A</v>
      </c>
      <c r="DX29" s="380" t="e">
        <f t="shared" si="41"/>
        <v>#N/A</v>
      </c>
      <c r="DY29" s="380" t="e">
        <f t="shared" si="50"/>
        <v>#N/A</v>
      </c>
      <c r="DZ29" s="378" t="e">
        <f t="shared" si="42"/>
        <v>#N/A</v>
      </c>
      <c r="EA29" s="378" t="e">
        <f t="shared" si="42"/>
        <v>#N/A</v>
      </c>
      <c r="EB29" s="378" t="e">
        <f t="shared" si="42"/>
        <v>#N/A</v>
      </c>
      <c r="EC29" s="378" t="e">
        <f t="shared" si="42"/>
        <v>#N/A</v>
      </c>
      <c r="ED29" s="378" t="e">
        <f t="shared" si="42"/>
        <v>#N/A</v>
      </c>
      <c r="EE29" s="378" t="e">
        <f t="shared" si="42"/>
        <v>#N/A</v>
      </c>
      <c r="EF29" s="378" t="e">
        <f t="shared" si="42"/>
        <v>#N/A</v>
      </c>
      <c r="EG29" s="378" t="e">
        <f t="shared" si="42"/>
        <v>#N/A</v>
      </c>
      <c r="EH29" s="378" t="e">
        <f t="shared" si="42"/>
        <v>#N/A</v>
      </c>
      <c r="EI29" s="378" t="e">
        <f t="shared" si="42"/>
        <v>#N/A</v>
      </c>
      <c r="EJ29" s="354" t="e">
        <f t="shared" si="47"/>
        <v>#N/A</v>
      </c>
      <c r="EK29" s="380" t="e">
        <f t="shared" si="43"/>
        <v>#N/A</v>
      </c>
      <c r="EL29" s="380" t="e">
        <f t="shared" si="43"/>
        <v>#N/A</v>
      </c>
      <c r="EM29" s="380" t="e">
        <f t="shared" si="43"/>
        <v>#N/A</v>
      </c>
      <c r="EN29" s="380" t="e">
        <f t="shared" si="43"/>
        <v>#N/A</v>
      </c>
      <c r="EO29" s="380" t="e">
        <f t="shared" si="43"/>
        <v>#N/A</v>
      </c>
      <c r="EP29" s="380" t="e">
        <f t="shared" si="43"/>
        <v>#N/A</v>
      </c>
      <c r="EQ29" s="380" t="e">
        <f t="shared" si="43"/>
        <v>#N/A</v>
      </c>
      <c r="ER29" s="380" t="e">
        <f t="shared" si="43"/>
        <v>#N/A</v>
      </c>
      <c r="ES29" s="380" t="e">
        <f t="shared" si="43"/>
        <v>#N/A</v>
      </c>
      <c r="ET29" s="380" t="e">
        <f t="shared" si="43"/>
        <v>#N/A</v>
      </c>
      <c r="EU29" s="379" t="e">
        <f t="shared" si="48"/>
        <v>#N/A</v>
      </c>
      <c r="EV29" s="382"/>
      <c r="EW29" s="382"/>
      <c r="EX29" s="382"/>
      <c r="EY29" s="382"/>
      <c r="EZ29" s="382"/>
      <c r="FA29" s="382"/>
      <c r="FB29" s="382"/>
      <c r="FE29" s="583"/>
      <c r="FF29" s="583"/>
      <c r="FG29" s="583"/>
      <c r="FH29" s="583"/>
    </row>
    <row r="30" spans="1:165" ht="51.5" customHeight="1" x14ac:dyDescent="0.3">
      <c r="A30" s="318"/>
      <c r="B30" s="318"/>
      <c r="C30" s="318"/>
      <c r="D30" s="318"/>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7"/>
      <c r="AN30" s="318"/>
      <c r="AO30" s="513"/>
      <c r="AP30" s="513"/>
      <c r="AQ30" s="513"/>
      <c r="AR30" s="513"/>
      <c r="AS30" s="514"/>
      <c r="AT30" s="513"/>
      <c r="AU30" s="318"/>
      <c r="AV30" s="318"/>
      <c r="AW30" s="318"/>
      <c r="AX30" s="318"/>
      <c r="AY30" s="318"/>
      <c r="AZ30" s="318"/>
      <c r="BA30" s="318"/>
      <c r="BB30" s="318"/>
      <c r="BC30" s="318"/>
      <c r="BD30" s="318"/>
      <c r="BE30" s="318"/>
      <c r="BF30" s="318"/>
      <c r="BG30" s="333"/>
      <c r="BH30" s="333"/>
      <c r="BI30" s="333"/>
      <c r="BJ30" s="333"/>
      <c r="BK30" s="333"/>
      <c r="BL30" s="333"/>
      <c r="BM30" s="333"/>
      <c r="BN30" s="333"/>
      <c r="BO30" s="333"/>
      <c r="BP30" s="333"/>
      <c r="BQ30" s="333"/>
      <c r="BR30" s="333"/>
      <c r="BS30" s="333"/>
      <c r="BT30" s="334"/>
      <c r="BU30" s="335"/>
      <c r="BV30" s="144"/>
      <c r="BY30" s="376"/>
      <c r="BZ30" s="373"/>
      <c r="CA30" s="373"/>
      <c r="CB30" s="373"/>
      <c r="CC30" s="373"/>
      <c r="CD30" s="373"/>
      <c r="CE30" s="373"/>
      <c r="CF30" s="373"/>
      <c r="CG30" s="373"/>
      <c r="CH30" s="378" t="e">
        <f t="shared" si="5"/>
        <v>#N/A</v>
      </c>
      <c r="CI30" s="378" t="e">
        <f t="shared" si="6"/>
        <v>#N/A</v>
      </c>
      <c r="CJ30" s="378" t="e">
        <f t="shared" si="7"/>
        <v>#N/A</v>
      </c>
      <c r="CK30" s="378" t="e">
        <f t="shared" si="8"/>
        <v>#N/A</v>
      </c>
      <c r="CL30" s="378" t="e">
        <f t="shared" si="9"/>
        <v>#N/A</v>
      </c>
      <c r="CM30" s="378" t="e">
        <f t="shared" si="10"/>
        <v>#N/A</v>
      </c>
      <c r="CN30" s="378" t="e">
        <f t="shared" si="11"/>
        <v>#N/A</v>
      </c>
      <c r="CO30" s="378" t="e">
        <f t="shared" si="12"/>
        <v>#N/A</v>
      </c>
      <c r="CP30" s="378" t="e">
        <f t="shared" si="13"/>
        <v>#N/A</v>
      </c>
      <c r="CQ30" s="378" t="e">
        <f t="shared" si="14"/>
        <v>#N/A</v>
      </c>
      <c r="CR30" s="354" t="e">
        <f t="shared" si="49"/>
        <v>#N/A</v>
      </c>
      <c r="CS30" s="379" t="e">
        <f>(HLOOKUP($AI30,'Inflation Adjustments'!$B$3:$BT$4,2,TRUE))*CH30</f>
        <v>#N/A</v>
      </c>
      <c r="CT30" s="379" t="e">
        <f>(HLOOKUP($AI30,'Inflation Adjustments'!$B$3:$BT$4,2,TRUE))*CI30</f>
        <v>#N/A</v>
      </c>
      <c r="CU30" s="379" t="e">
        <f>(HLOOKUP($AI30,'Inflation Adjustments'!$B$3:$BT$4,2,TRUE))*CJ30</f>
        <v>#N/A</v>
      </c>
      <c r="CV30" s="379" t="e">
        <f>(HLOOKUP($AI30,'Inflation Adjustments'!$B$3:$BT$4,2,TRUE))*CK30</f>
        <v>#N/A</v>
      </c>
      <c r="CW30" s="379" t="e">
        <f>(HLOOKUP($AI30,'Inflation Adjustments'!$B$3:$BT$4,2,TRUE))*CL30</f>
        <v>#N/A</v>
      </c>
      <c r="CX30" s="379" t="e">
        <f>(HLOOKUP($AI30,'Inflation Adjustments'!$B$3:$BT$4,2,TRUE))*CM30</f>
        <v>#N/A</v>
      </c>
      <c r="CY30" s="379" t="e">
        <f>(HLOOKUP($AI30,'Inflation Adjustments'!$B$3:$BT$4,2,TRUE))*CN30</f>
        <v>#N/A</v>
      </c>
      <c r="CZ30" s="379" t="e">
        <f>(HLOOKUP($AI30,'Inflation Adjustments'!$B$3:$BT$4,2,TRUE))*CO30</f>
        <v>#N/A</v>
      </c>
      <c r="DA30" s="379" t="e">
        <f>(HLOOKUP($AI30,'Inflation Adjustments'!$B$3:$BT$4,2,TRUE))*CP30</f>
        <v>#N/A</v>
      </c>
      <c r="DB30" s="379" t="e">
        <f>(HLOOKUP($AI30,'Inflation Adjustments'!$B$3:$BT$4,2,TRUE))*CQ30</f>
        <v>#N/A</v>
      </c>
      <c r="DC30" s="379" t="e">
        <f t="shared" si="40"/>
        <v>#N/A</v>
      </c>
      <c r="DD30" s="354">
        <f t="shared" si="15"/>
        <v>2022</v>
      </c>
      <c r="DE30" s="378" t="e">
        <f t="shared" si="16"/>
        <v>#N/A</v>
      </c>
      <c r="DF30" s="378" t="e">
        <f t="shared" si="17"/>
        <v>#N/A</v>
      </c>
      <c r="DG30" s="378" t="e">
        <f t="shared" si="18"/>
        <v>#N/A</v>
      </c>
      <c r="DH30" s="378" t="e">
        <f t="shared" si="19"/>
        <v>#N/A</v>
      </c>
      <c r="DI30" s="378" t="e">
        <f t="shared" si="20"/>
        <v>#N/A</v>
      </c>
      <c r="DJ30" s="378" t="e">
        <f t="shared" si="21"/>
        <v>#N/A</v>
      </c>
      <c r="DK30" s="378" t="e">
        <f t="shared" si="45"/>
        <v>#N/A</v>
      </c>
      <c r="DL30" s="378" t="e">
        <f t="shared" si="45"/>
        <v>#N/A</v>
      </c>
      <c r="DM30" s="378" t="e">
        <f t="shared" si="23"/>
        <v>#N/A</v>
      </c>
      <c r="DN30" s="378" t="e">
        <f t="shared" si="24"/>
        <v>#N/A</v>
      </c>
      <c r="DO30" s="380" t="e">
        <f t="shared" si="41"/>
        <v>#N/A</v>
      </c>
      <c r="DP30" s="380" t="e">
        <f t="shared" si="41"/>
        <v>#N/A</v>
      </c>
      <c r="DQ30" s="380" t="e">
        <f t="shared" si="41"/>
        <v>#N/A</v>
      </c>
      <c r="DR30" s="380" t="e">
        <f t="shared" si="41"/>
        <v>#N/A</v>
      </c>
      <c r="DS30" s="380" t="e">
        <f t="shared" si="41"/>
        <v>#N/A</v>
      </c>
      <c r="DT30" s="380" t="e">
        <f t="shared" si="41"/>
        <v>#N/A</v>
      </c>
      <c r="DU30" s="380" t="e">
        <f t="shared" si="41"/>
        <v>#N/A</v>
      </c>
      <c r="DV30" s="380" t="e">
        <f t="shared" si="41"/>
        <v>#N/A</v>
      </c>
      <c r="DW30" s="380" t="e">
        <f t="shared" si="41"/>
        <v>#N/A</v>
      </c>
      <c r="DX30" s="380" t="e">
        <f t="shared" si="41"/>
        <v>#N/A</v>
      </c>
      <c r="DY30" s="380" t="e">
        <f t="shared" si="50"/>
        <v>#N/A</v>
      </c>
      <c r="DZ30" s="378" t="e">
        <f t="shared" si="42"/>
        <v>#N/A</v>
      </c>
      <c r="EA30" s="378" t="e">
        <f t="shared" si="42"/>
        <v>#N/A</v>
      </c>
      <c r="EB30" s="378" t="e">
        <f t="shared" si="42"/>
        <v>#N/A</v>
      </c>
      <c r="EC30" s="378" t="e">
        <f t="shared" si="42"/>
        <v>#N/A</v>
      </c>
      <c r="ED30" s="378" t="e">
        <f t="shared" si="42"/>
        <v>#N/A</v>
      </c>
      <c r="EE30" s="378" t="e">
        <f t="shared" si="42"/>
        <v>#N/A</v>
      </c>
      <c r="EF30" s="378" t="e">
        <f t="shared" si="42"/>
        <v>#N/A</v>
      </c>
      <c r="EG30" s="378" t="e">
        <f t="shared" si="42"/>
        <v>#N/A</v>
      </c>
      <c r="EH30" s="378" t="e">
        <f t="shared" si="42"/>
        <v>#N/A</v>
      </c>
      <c r="EI30" s="378" t="e">
        <f t="shared" si="42"/>
        <v>#N/A</v>
      </c>
      <c r="EJ30" s="354" t="e">
        <f t="shared" si="47"/>
        <v>#N/A</v>
      </c>
      <c r="EK30" s="380" t="e">
        <f t="shared" si="43"/>
        <v>#N/A</v>
      </c>
      <c r="EL30" s="380" t="e">
        <f t="shared" si="43"/>
        <v>#N/A</v>
      </c>
      <c r="EM30" s="380" t="e">
        <f t="shared" si="43"/>
        <v>#N/A</v>
      </c>
      <c r="EN30" s="380" t="e">
        <f t="shared" si="43"/>
        <v>#N/A</v>
      </c>
      <c r="EO30" s="380" t="e">
        <f t="shared" si="43"/>
        <v>#N/A</v>
      </c>
      <c r="EP30" s="380" t="e">
        <f t="shared" si="43"/>
        <v>#N/A</v>
      </c>
      <c r="EQ30" s="380" t="e">
        <f t="shared" si="43"/>
        <v>#N/A</v>
      </c>
      <c r="ER30" s="380" t="e">
        <f t="shared" si="43"/>
        <v>#N/A</v>
      </c>
      <c r="ES30" s="380" t="e">
        <f t="shared" si="43"/>
        <v>#N/A</v>
      </c>
      <c r="ET30" s="380" t="e">
        <f t="shared" si="43"/>
        <v>#N/A</v>
      </c>
      <c r="EU30" s="379" t="e">
        <f t="shared" si="48"/>
        <v>#N/A</v>
      </c>
      <c r="EV30" s="382"/>
      <c r="EW30" s="382"/>
      <c r="EX30" s="382"/>
      <c r="EY30" s="382"/>
      <c r="EZ30" s="382"/>
      <c r="FA30" s="382"/>
      <c r="FB30" s="382"/>
      <c r="FE30" s="583"/>
      <c r="FF30" s="583"/>
      <c r="FG30" s="583"/>
      <c r="FH30" s="583"/>
    </row>
    <row r="31" spans="1:165" ht="56.5" customHeight="1" x14ac:dyDescent="0.3">
      <c r="A31" s="318"/>
      <c r="B31" s="318"/>
      <c r="C31" s="318"/>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7"/>
      <c r="AN31" s="318"/>
      <c r="AO31" s="513"/>
      <c r="AP31" s="513"/>
      <c r="AQ31" s="513"/>
      <c r="AR31" s="513"/>
      <c r="AS31" s="514"/>
      <c r="AT31" s="513"/>
      <c r="AU31" s="318"/>
      <c r="AV31" s="318"/>
      <c r="AW31" s="318"/>
      <c r="AX31" s="318"/>
      <c r="AY31" s="318"/>
      <c r="AZ31" s="318"/>
      <c r="BA31" s="318"/>
      <c r="BB31" s="318"/>
      <c r="BC31" s="318"/>
      <c r="BD31" s="318"/>
      <c r="BE31" s="318"/>
      <c r="BF31" s="318"/>
      <c r="BG31" s="333"/>
      <c r="BH31" s="333"/>
      <c r="BI31" s="333"/>
      <c r="BJ31" s="333"/>
      <c r="BK31" s="333"/>
      <c r="BL31" s="333"/>
      <c r="BM31" s="333"/>
      <c r="BN31" s="333"/>
      <c r="BO31" s="333"/>
      <c r="BP31" s="333"/>
      <c r="BQ31" s="333"/>
      <c r="BR31" s="333"/>
      <c r="BS31" s="333"/>
      <c r="BT31" s="334"/>
      <c r="BU31" s="335"/>
      <c r="BV31" s="144"/>
      <c r="BY31" s="376"/>
      <c r="BZ31" s="373"/>
      <c r="CA31" s="373"/>
      <c r="CB31" s="373"/>
      <c r="CC31" s="373"/>
      <c r="CD31" s="373"/>
      <c r="CE31" s="373"/>
      <c r="CF31" s="373"/>
      <c r="CG31" s="373"/>
      <c r="CH31" s="378" t="e">
        <f t="shared" si="5"/>
        <v>#N/A</v>
      </c>
      <c r="CI31" s="378" t="e">
        <f t="shared" si="6"/>
        <v>#N/A</v>
      </c>
      <c r="CJ31" s="378" t="e">
        <f t="shared" si="7"/>
        <v>#N/A</v>
      </c>
      <c r="CK31" s="378" t="e">
        <f t="shared" si="8"/>
        <v>#N/A</v>
      </c>
      <c r="CL31" s="378" t="e">
        <f t="shared" si="9"/>
        <v>#N/A</v>
      </c>
      <c r="CM31" s="378" t="e">
        <f t="shared" si="10"/>
        <v>#N/A</v>
      </c>
      <c r="CN31" s="378" t="e">
        <f t="shared" si="11"/>
        <v>#N/A</v>
      </c>
      <c r="CO31" s="378" t="e">
        <f t="shared" si="12"/>
        <v>#N/A</v>
      </c>
      <c r="CP31" s="378" t="e">
        <f t="shared" si="13"/>
        <v>#N/A</v>
      </c>
      <c r="CQ31" s="378" t="e">
        <f t="shared" si="14"/>
        <v>#N/A</v>
      </c>
      <c r="CR31" s="354" t="e">
        <f t="shared" ref="CR31:CR34" si="51">SUM(CH31:CQ31)</f>
        <v>#N/A</v>
      </c>
      <c r="CS31" s="379" t="e">
        <f>(HLOOKUP($AI31,'Inflation Adjustments'!$B$3:$BT$4,2,TRUE))*CH31</f>
        <v>#N/A</v>
      </c>
      <c r="CT31" s="379" t="e">
        <f>(HLOOKUP($AI31,'Inflation Adjustments'!$B$3:$BT$4,2,TRUE))*CI31</f>
        <v>#N/A</v>
      </c>
      <c r="CU31" s="379" t="e">
        <f>(HLOOKUP($AI31,'Inflation Adjustments'!$B$3:$BT$4,2,TRUE))*CJ31</f>
        <v>#N/A</v>
      </c>
      <c r="CV31" s="379" t="e">
        <f>(HLOOKUP($AI31,'Inflation Adjustments'!$B$3:$BT$4,2,TRUE))*CK31</f>
        <v>#N/A</v>
      </c>
      <c r="CW31" s="379" t="e">
        <f>(HLOOKUP($AI31,'Inflation Adjustments'!$B$3:$BT$4,2,TRUE))*CL31</f>
        <v>#N/A</v>
      </c>
      <c r="CX31" s="379" t="e">
        <f>(HLOOKUP($AI31,'Inflation Adjustments'!$B$3:$BT$4,2,TRUE))*CM31</f>
        <v>#N/A</v>
      </c>
      <c r="CY31" s="379" t="e">
        <f>(HLOOKUP($AI31,'Inflation Adjustments'!$B$3:$BT$4,2,TRUE))*CN31</f>
        <v>#N/A</v>
      </c>
      <c r="CZ31" s="379" t="e">
        <f>(HLOOKUP($AI31,'Inflation Adjustments'!$B$3:$BT$4,2,TRUE))*CO31</f>
        <v>#N/A</v>
      </c>
      <c r="DA31" s="379" t="e">
        <f>(HLOOKUP($AI31,'Inflation Adjustments'!$B$3:$BT$4,2,TRUE))*CP31</f>
        <v>#N/A</v>
      </c>
      <c r="DB31" s="379" t="e">
        <f>(HLOOKUP($AI31,'Inflation Adjustments'!$B$3:$BT$4,2,TRUE))*CQ31</f>
        <v>#N/A</v>
      </c>
      <c r="DC31" s="379" t="e">
        <f t="shared" si="40"/>
        <v>#N/A</v>
      </c>
      <c r="DD31" s="354">
        <f t="shared" si="15"/>
        <v>2022</v>
      </c>
      <c r="DE31" s="378" t="e">
        <f t="shared" si="16"/>
        <v>#N/A</v>
      </c>
      <c r="DF31" s="378" t="e">
        <f t="shared" si="17"/>
        <v>#N/A</v>
      </c>
      <c r="DG31" s="378" t="e">
        <f t="shared" si="18"/>
        <v>#N/A</v>
      </c>
      <c r="DH31" s="378" t="e">
        <f t="shared" si="19"/>
        <v>#N/A</v>
      </c>
      <c r="DI31" s="378" t="e">
        <f t="shared" si="20"/>
        <v>#N/A</v>
      </c>
      <c r="DJ31" s="378" t="e">
        <f t="shared" si="21"/>
        <v>#N/A</v>
      </c>
      <c r="DK31" s="378" t="e">
        <f t="shared" si="45"/>
        <v>#N/A</v>
      </c>
      <c r="DL31" s="378" t="e">
        <f t="shared" si="45"/>
        <v>#N/A</v>
      </c>
      <c r="DM31" s="378" t="e">
        <f t="shared" si="23"/>
        <v>#N/A</v>
      </c>
      <c r="DN31" s="378" t="e">
        <f t="shared" si="24"/>
        <v>#N/A</v>
      </c>
      <c r="DO31" s="380" t="e">
        <f t="shared" si="41"/>
        <v>#N/A</v>
      </c>
      <c r="DP31" s="380" t="e">
        <f t="shared" si="41"/>
        <v>#N/A</v>
      </c>
      <c r="DQ31" s="380" t="e">
        <f t="shared" si="41"/>
        <v>#N/A</v>
      </c>
      <c r="DR31" s="380" t="e">
        <f t="shared" si="41"/>
        <v>#N/A</v>
      </c>
      <c r="DS31" s="380" t="e">
        <f t="shared" si="41"/>
        <v>#N/A</v>
      </c>
      <c r="DT31" s="380" t="e">
        <f t="shared" si="41"/>
        <v>#N/A</v>
      </c>
      <c r="DU31" s="380" t="e">
        <f t="shared" si="41"/>
        <v>#N/A</v>
      </c>
      <c r="DV31" s="380" t="e">
        <f t="shared" si="41"/>
        <v>#N/A</v>
      </c>
      <c r="DW31" s="380" t="e">
        <f t="shared" si="41"/>
        <v>#N/A</v>
      </c>
      <c r="DX31" s="380" t="e">
        <f t="shared" si="41"/>
        <v>#N/A</v>
      </c>
      <c r="DY31" s="380" t="e">
        <f t="shared" ref="DY31:DY34" si="52">SUM(DO31:DX31)</f>
        <v>#N/A</v>
      </c>
      <c r="DZ31" s="378" t="e">
        <f t="shared" si="42"/>
        <v>#N/A</v>
      </c>
      <c r="EA31" s="378" t="e">
        <f t="shared" si="42"/>
        <v>#N/A</v>
      </c>
      <c r="EB31" s="378" t="e">
        <f t="shared" si="42"/>
        <v>#N/A</v>
      </c>
      <c r="EC31" s="378" t="e">
        <f t="shared" si="42"/>
        <v>#N/A</v>
      </c>
      <c r="ED31" s="378" t="e">
        <f t="shared" si="42"/>
        <v>#N/A</v>
      </c>
      <c r="EE31" s="378" t="e">
        <f t="shared" si="42"/>
        <v>#N/A</v>
      </c>
      <c r="EF31" s="378" t="e">
        <f t="shared" si="42"/>
        <v>#N/A</v>
      </c>
      <c r="EG31" s="378" t="e">
        <f t="shared" si="42"/>
        <v>#N/A</v>
      </c>
      <c r="EH31" s="378" t="e">
        <f t="shared" si="42"/>
        <v>#N/A</v>
      </c>
      <c r="EI31" s="378" t="e">
        <f t="shared" si="42"/>
        <v>#N/A</v>
      </c>
      <c r="EJ31" s="354" t="e">
        <f t="shared" si="47"/>
        <v>#N/A</v>
      </c>
      <c r="EK31" s="380" t="e">
        <f t="shared" si="43"/>
        <v>#N/A</v>
      </c>
      <c r="EL31" s="380" t="e">
        <f t="shared" si="43"/>
        <v>#N/A</v>
      </c>
      <c r="EM31" s="380" t="e">
        <f t="shared" si="43"/>
        <v>#N/A</v>
      </c>
      <c r="EN31" s="380" t="e">
        <f t="shared" si="43"/>
        <v>#N/A</v>
      </c>
      <c r="EO31" s="380" t="e">
        <f t="shared" si="43"/>
        <v>#N/A</v>
      </c>
      <c r="EP31" s="380" t="e">
        <f t="shared" si="43"/>
        <v>#N/A</v>
      </c>
      <c r="EQ31" s="380" t="e">
        <f t="shared" si="43"/>
        <v>#N/A</v>
      </c>
      <c r="ER31" s="380" t="e">
        <f t="shared" si="43"/>
        <v>#N/A</v>
      </c>
      <c r="ES31" s="380" t="e">
        <f t="shared" si="43"/>
        <v>#N/A</v>
      </c>
      <c r="ET31" s="380" t="e">
        <f t="shared" si="43"/>
        <v>#N/A</v>
      </c>
      <c r="EU31" s="379" t="e">
        <f t="shared" si="48"/>
        <v>#N/A</v>
      </c>
      <c r="EV31" s="382"/>
      <c r="EW31" s="382"/>
      <c r="EX31" s="382"/>
      <c r="EY31" s="382"/>
      <c r="EZ31" s="382"/>
      <c r="FA31" s="382"/>
      <c r="FB31" s="382"/>
    </row>
    <row r="32" spans="1:165" ht="51.5" customHeight="1" x14ac:dyDescent="0.3">
      <c r="A32" s="318"/>
      <c r="B32" s="318"/>
      <c r="C32" s="318"/>
      <c r="D32" s="318"/>
      <c r="E32" s="318"/>
      <c r="F32" s="318"/>
      <c r="G32" s="318"/>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18"/>
      <c r="AM32" s="317"/>
      <c r="AN32" s="318"/>
      <c r="AO32" s="513"/>
      <c r="AP32" s="513"/>
      <c r="AQ32" s="513"/>
      <c r="AR32" s="513"/>
      <c r="AS32" s="514"/>
      <c r="AT32" s="513"/>
      <c r="AU32" s="318"/>
      <c r="AV32" s="318"/>
      <c r="AW32" s="318"/>
      <c r="AX32" s="318"/>
      <c r="AY32" s="318"/>
      <c r="AZ32" s="318"/>
      <c r="BA32" s="318"/>
      <c r="BB32" s="318"/>
      <c r="BC32" s="318"/>
      <c r="BD32" s="318"/>
      <c r="BE32" s="318"/>
      <c r="BF32" s="318"/>
      <c r="BG32" s="333"/>
      <c r="BH32" s="333"/>
      <c r="BI32" s="333"/>
      <c r="BJ32" s="333"/>
      <c r="BK32" s="333"/>
      <c r="BL32" s="333"/>
      <c r="BM32" s="333"/>
      <c r="BN32" s="333"/>
      <c r="BO32" s="333"/>
      <c r="BP32" s="333"/>
      <c r="BQ32" s="333"/>
      <c r="BR32" s="333"/>
      <c r="BS32" s="333"/>
      <c r="BT32" s="334"/>
      <c r="BU32" s="335"/>
      <c r="BV32" s="144"/>
      <c r="BY32" s="376"/>
      <c r="BZ32" s="373"/>
      <c r="CA32" s="373"/>
      <c r="CB32" s="373"/>
      <c r="CC32" s="373"/>
      <c r="CD32" s="373"/>
      <c r="CE32" s="373"/>
      <c r="CF32" s="373"/>
      <c r="CG32" s="373"/>
      <c r="CH32" s="378" t="e">
        <f t="shared" si="5"/>
        <v>#N/A</v>
      </c>
      <c r="CI32" s="378" t="e">
        <f t="shared" si="6"/>
        <v>#N/A</v>
      </c>
      <c r="CJ32" s="378" t="e">
        <f t="shared" si="7"/>
        <v>#N/A</v>
      </c>
      <c r="CK32" s="378" t="e">
        <f t="shared" si="8"/>
        <v>#N/A</v>
      </c>
      <c r="CL32" s="378" t="e">
        <f t="shared" si="9"/>
        <v>#N/A</v>
      </c>
      <c r="CM32" s="378" t="e">
        <f t="shared" si="10"/>
        <v>#N/A</v>
      </c>
      <c r="CN32" s="378" t="e">
        <f t="shared" si="11"/>
        <v>#N/A</v>
      </c>
      <c r="CO32" s="378" t="e">
        <f t="shared" si="12"/>
        <v>#N/A</v>
      </c>
      <c r="CP32" s="378" t="e">
        <f t="shared" si="13"/>
        <v>#N/A</v>
      </c>
      <c r="CQ32" s="378" t="e">
        <f t="shared" si="14"/>
        <v>#N/A</v>
      </c>
      <c r="CR32" s="354" t="e">
        <f t="shared" si="51"/>
        <v>#N/A</v>
      </c>
      <c r="CS32" s="379" t="e">
        <f>(HLOOKUP($AI32,'Inflation Adjustments'!$B$3:$BT$4,2,TRUE))*CH32</f>
        <v>#N/A</v>
      </c>
      <c r="CT32" s="379" t="e">
        <f>(HLOOKUP($AI32,'Inflation Adjustments'!$B$3:$BT$4,2,TRUE))*CI32</f>
        <v>#N/A</v>
      </c>
      <c r="CU32" s="379" t="e">
        <f>(HLOOKUP($AI32,'Inflation Adjustments'!$B$3:$BT$4,2,TRUE))*CJ32</f>
        <v>#N/A</v>
      </c>
      <c r="CV32" s="379" t="e">
        <f>(HLOOKUP($AI32,'Inflation Adjustments'!$B$3:$BT$4,2,TRUE))*CK32</f>
        <v>#N/A</v>
      </c>
      <c r="CW32" s="379" t="e">
        <f>(HLOOKUP($AI32,'Inflation Adjustments'!$B$3:$BT$4,2,TRUE))*CL32</f>
        <v>#N/A</v>
      </c>
      <c r="CX32" s="379" t="e">
        <f>(HLOOKUP($AI32,'Inflation Adjustments'!$B$3:$BT$4,2,TRUE))*CM32</f>
        <v>#N/A</v>
      </c>
      <c r="CY32" s="379" t="e">
        <f>(HLOOKUP($AI32,'Inflation Adjustments'!$B$3:$BT$4,2,TRUE))*CN32</f>
        <v>#N/A</v>
      </c>
      <c r="CZ32" s="379" t="e">
        <f>(HLOOKUP($AI32,'Inflation Adjustments'!$B$3:$BT$4,2,TRUE))*CO32</f>
        <v>#N/A</v>
      </c>
      <c r="DA32" s="379" t="e">
        <f>(HLOOKUP($AI32,'Inflation Adjustments'!$B$3:$BT$4,2,TRUE))*CP32</f>
        <v>#N/A</v>
      </c>
      <c r="DB32" s="379" t="e">
        <f>(HLOOKUP($AI32,'Inflation Adjustments'!$B$3:$BT$4,2,TRUE))*CQ32</f>
        <v>#N/A</v>
      </c>
      <c r="DC32" s="379" t="e">
        <f t="shared" si="40"/>
        <v>#N/A</v>
      </c>
      <c r="DD32" s="354">
        <f t="shared" si="15"/>
        <v>2022</v>
      </c>
      <c r="DE32" s="378" t="e">
        <f t="shared" si="16"/>
        <v>#N/A</v>
      </c>
      <c r="DF32" s="378" t="e">
        <f t="shared" si="17"/>
        <v>#N/A</v>
      </c>
      <c r="DG32" s="378" t="e">
        <f t="shared" si="18"/>
        <v>#N/A</v>
      </c>
      <c r="DH32" s="378" t="e">
        <f t="shared" si="19"/>
        <v>#N/A</v>
      </c>
      <c r="DI32" s="378" t="e">
        <f t="shared" si="20"/>
        <v>#N/A</v>
      </c>
      <c r="DJ32" s="378" t="e">
        <f t="shared" si="21"/>
        <v>#N/A</v>
      </c>
      <c r="DK32" s="378" t="e">
        <f t="shared" si="45"/>
        <v>#N/A</v>
      </c>
      <c r="DL32" s="378" t="e">
        <f t="shared" si="45"/>
        <v>#N/A</v>
      </c>
      <c r="DM32" s="378" t="e">
        <f t="shared" si="23"/>
        <v>#N/A</v>
      </c>
      <c r="DN32" s="378" t="e">
        <f t="shared" si="24"/>
        <v>#N/A</v>
      </c>
      <c r="DO32" s="380" t="e">
        <f t="shared" si="41"/>
        <v>#N/A</v>
      </c>
      <c r="DP32" s="380" t="e">
        <f t="shared" si="41"/>
        <v>#N/A</v>
      </c>
      <c r="DQ32" s="380" t="e">
        <f t="shared" si="41"/>
        <v>#N/A</v>
      </c>
      <c r="DR32" s="380" t="e">
        <f t="shared" si="41"/>
        <v>#N/A</v>
      </c>
      <c r="DS32" s="380" t="e">
        <f t="shared" si="41"/>
        <v>#N/A</v>
      </c>
      <c r="DT32" s="380" t="e">
        <f t="shared" si="41"/>
        <v>#N/A</v>
      </c>
      <c r="DU32" s="380" t="e">
        <f t="shared" si="41"/>
        <v>#N/A</v>
      </c>
      <c r="DV32" s="380" t="e">
        <f t="shared" si="41"/>
        <v>#N/A</v>
      </c>
      <c r="DW32" s="380" t="e">
        <f t="shared" si="41"/>
        <v>#N/A</v>
      </c>
      <c r="DX32" s="380" t="e">
        <f t="shared" si="41"/>
        <v>#N/A</v>
      </c>
      <c r="DY32" s="380" t="e">
        <f t="shared" si="52"/>
        <v>#N/A</v>
      </c>
      <c r="DZ32" s="378" t="e">
        <f t="shared" si="42"/>
        <v>#N/A</v>
      </c>
      <c r="EA32" s="378" t="e">
        <f t="shared" si="42"/>
        <v>#N/A</v>
      </c>
      <c r="EB32" s="378" t="e">
        <f t="shared" si="42"/>
        <v>#N/A</v>
      </c>
      <c r="EC32" s="378" t="e">
        <f t="shared" si="42"/>
        <v>#N/A</v>
      </c>
      <c r="ED32" s="378" t="e">
        <f t="shared" si="42"/>
        <v>#N/A</v>
      </c>
      <c r="EE32" s="378" t="e">
        <f t="shared" si="42"/>
        <v>#N/A</v>
      </c>
      <c r="EF32" s="378" t="e">
        <f t="shared" si="42"/>
        <v>#N/A</v>
      </c>
      <c r="EG32" s="378" t="e">
        <f t="shared" si="42"/>
        <v>#N/A</v>
      </c>
      <c r="EH32" s="378" t="e">
        <f t="shared" si="42"/>
        <v>#N/A</v>
      </c>
      <c r="EI32" s="378" t="e">
        <f t="shared" si="42"/>
        <v>#N/A</v>
      </c>
      <c r="EJ32" s="354" t="e">
        <f t="shared" si="47"/>
        <v>#N/A</v>
      </c>
      <c r="EK32" s="380" t="e">
        <f t="shared" si="43"/>
        <v>#N/A</v>
      </c>
      <c r="EL32" s="380" t="e">
        <f t="shared" si="43"/>
        <v>#N/A</v>
      </c>
      <c r="EM32" s="380" t="e">
        <f t="shared" si="43"/>
        <v>#N/A</v>
      </c>
      <c r="EN32" s="380" t="e">
        <f t="shared" si="43"/>
        <v>#N/A</v>
      </c>
      <c r="EO32" s="380" t="e">
        <f t="shared" si="43"/>
        <v>#N/A</v>
      </c>
      <c r="EP32" s="380" t="e">
        <f t="shared" si="43"/>
        <v>#N/A</v>
      </c>
      <c r="EQ32" s="380" t="e">
        <f t="shared" si="43"/>
        <v>#N/A</v>
      </c>
      <c r="ER32" s="380" t="e">
        <f t="shared" si="43"/>
        <v>#N/A</v>
      </c>
      <c r="ES32" s="380" t="e">
        <f t="shared" si="43"/>
        <v>#N/A</v>
      </c>
      <c r="ET32" s="380" t="e">
        <f t="shared" si="43"/>
        <v>#N/A</v>
      </c>
      <c r="EU32" s="379" t="e">
        <f t="shared" si="48"/>
        <v>#N/A</v>
      </c>
      <c r="EV32" s="382"/>
      <c r="EW32" s="382"/>
      <c r="EX32" s="382"/>
      <c r="EY32" s="382"/>
      <c r="EZ32" s="382"/>
      <c r="FA32" s="382"/>
      <c r="FB32" s="382"/>
    </row>
    <row r="33" spans="1:158" ht="50" customHeight="1" x14ac:dyDescent="0.3">
      <c r="A33" s="318"/>
      <c r="B33" s="318"/>
      <c r="C33" s="318"/>
      <c r="D33" s="318"/>
      <c r="E33" s="318"/>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8"/>
      <c r="AM33" s="317"/>
      <c r="AN33" s="318"/>
      <c r="AO33" s="513"/>
      <c r="AP33" s="513"/>
      <c r="AQ33" s="513"/>
      <c r="AR33" s="513"/>
      <c r="AS33" s="514"/>
      <c r="AT33" s="513"/>
      <c r="AU33" s="318"/>
      <c r="AV33" s="318"/>
      <c r="AW33" s="318"/>
      <c r="AX33" s="318"/>
      <c r="AY33" s="318"/>
      <c r="AZ33" s="318"/>
      <c r="BA33" s="318"/>
      <c r="BB33" s="318"/>
      <c r="BC33" s="318"/>
      <c r="BD33" s="318"/>
      <c r="BE33" s="318"/>
      <c r="BF33" s="318"/>
      <c r="BG33" s="333"/>
      <c r="BH33" s="333"/>
      <c r="BI33" s="333"/>
      <c r="BJ33" s="333"/>
      <c r="BK33" s="333"/>
      <c r="BL33" s="333"/>
      <c r="BM33" s="333"/>
      <c r="BN33" s="333"/>
      <c r="BO33" s="333"/>
      <c r="BP33" s="333"/>
      <c r="BQ33" s="333"/>
      <c r="BR33" s="333"/>
      <c r="BS33" s="333"/>
      <c r="BT33" s="334"/>
      <c r="BU33" s="335"/>
      <c r="BV33" s="144"/>
      <c r="BY33" s="376"/>
      <c r="BZ33" s="373"/>
      <c r="CA33" s="373"/>
      <c r="CB33" s="373"/>
      <c r="CC33" s="373"/>
      <c r="CD33" s="373"/>
      <c r="CE33" s="373"/>
      <c r="CF33" s="373"/>
      <c r="CG33" s="373"/>
      <c r="CH33" s="378" t="e">
        <f t="shared" si="5"/>
        <v>#N/A</v>
      </c>
      <c r="CI33" s="378" t="e">
        <f t="shared" si="6"/>
        <v>#N/A</v>
      </c>
      <c r="CJ33" s="378" t="e">
        <f t="shared" si="7"/>
        <v>#N/A</v>
      </c>
      <c r="CK33" s="378" t="e">
        <f t="shared" si="8"/>
        <v>#N/A</v>
      </c>
      <c r="CL33" s="378" t="e">
        <f t="shared" si="9"/>
        <v>#N/A</v>
      </c>
      <c r="CM33" s="378" t="e">
        <f t="shared" si="10"/>
        <v>#N/A</v>
      </c>
      <c r="CN33" s="378" t="e">
        <f t="shared" si="11"/>
        <v>#N/A</v>
      </c>
      <c r="CO33" s="378" t="e">
        <f t="shared" si="12"/>
        <v>#N/A</v>
      </c>
      <c r="CP33" s="378" t="e">
        <f t="shared" si="13"/>
        <v>#N/A</v>
      </c>
      <c r="CQ33" s="378" t="e">
        <f t="shared" si="14"/>
        <v>#N/A</v>
      </c>
      <c r="CR33" s="354" t="e">
        <f t="shared" si="51"/>
        <v>#N/A</v>
      </c>
      <c r="CS33" s="379" t="e">
        <f>(HLOOKUP($AI33,'Inflation Adjustments'!$B$3:$BT$4,2,TRUE))*CH33</f>
        <v>#N/A</v>
      </c>
      <c r="CT33" s="379" t="e">
        <f>(HLOOKUP($AI33,'Inflation Adjustments'!$B$3:$BT$4,2,TRUE))*CI33</f>
        <v>#N/A</v>
      </c>
      <c r="CU33" s="379" t="e">
        <f>(HLOOKUP($AI33,'Inflation Adjustments'!$B$3:$BT$4,2,TRUE))*CJ33</f>
        <v>#N/A</v>
      </c>
      <c r="CV33" s="379" t="e">
        <f>(HLOOKUP($AI33,'Inflation Adjustments'!$B$3:$BT$4,2,TRUE))*CK33</f>
        <v>#N/A</v>
      </c>
      <c r="CW33" s="379" t="e">
        <f>(HLOOKUP($AI33,'Inflation Adjustments'!$B$3:$BT$4,2,TRUE))*CL33</f>
        <v>#N/A</v>
      </c>
      <c r="CX33" s="379" t="e">
        <f>(HLOOKUP($AI33,'Inflation Adjustments'!$B$3:$BT$4,2,TRUE))*CM33</f>
        <v>#N/A</v>
      </c>
      <c r="CY33" s="379" t="e">
        <f>(HLOOKUP($AI33,'Inflation Adjustments'!$B$3:$BT$4,2,TRUE))*CN33</f>
        <v>#N/A</v>
      </c>
      <c r="CZ33" s="379" t="e">
        <f>(HLOOKUP($AI33,'Inflation Adjustments'!$B$3:$BT$4,2,TRUE))*CO33</f>
        <v>#N/A</v>
      </c>
      <c r="DA33" s="379" t="e">
        <f>(HLOOKUP($AI33,'Inflation Adjustments'!$B$3:$BT$4,2,TRUE))*CP33</f>
        <v>#N/A</v>
      </c>
      <c r="DB33" s="379" t="e">
        <f>(HLOOKUP($AI33,'Inflation Adjustments'!$B$3:$BT$4,2,TRUE))*CQ33</f>
        <v>#N/A</v>
      </c>
      <c r="DC33" s="379" t="e">
        <f t="shared" si="40"/>
        <v>#N/A</v>
      </c>
      <c r="DD33" s="354">
        <f t="shared" si="15"/>
        <v>2022</v>
      </c>
      <c r="DE33" s="378" t="e">
        <f t="shared" si="16"/>
        <v>#N/A</v>
      </c>
      <c r="DF33" s="378" t="e">
        <f t="shared" si="17"/>
        <v>#N/A</v>
      </c>
      <c r="DG33" s="378" t="e">
        <f t="shared" si="18"/>
        <v>#N/A</v>
      </c>
      <c r="DH33" s="378" t="e">
        <f t="shared" si="19"/>
        <v>#N/A</v>
      </c>
      <c r="DI33" s="378" t="e">
        <f t="shared" si="20"/>
        <v>#N/A</v>
      </c>
      <c r="DJ33" s="378" t="e">
        <f t="shared" si="21"/>
        <v>#N/A</v>
      </c>
      <c r="DK33" s="378" t="e">
        <f t="shared" si="45"/>
        <v>#N/A</v>
      </c>
      <c r="DL33" s="378" t="e">
        <f t="shared" si="45"/>
        <v>#N/A</v>
      </c>
      <c r="DM33" s="378" t="e">
        <f t="shared" si="23"/>
        <v>#N/A</v>
      </c>
      <c r="DN33" s="378" t="e">
        <f t="shared" si="24"/>
        <v>#N/A</v>
      </c>
      <c r="DO33" s="380" t="e">
        <f t="shared" si="41"/>
        <v>#N/A</v>
      </c>
      <c r="DP33" s="380" t="e">
        <f t="shared" si="41"/>
        <v>#N/A</v>
      </c>
      <c r="DQ33" s="380" t="e">
        <f t="shared" si="41"/>
        <v>#N/A</v>
      </c>
      <c r="DR33" s="380" t="e">
        <f t="shared" si="41"/>
        <v>#N/A</v>
      </c>
      <c r="DS33" s="380" t="e">
        <f t="shared" si="41"/>
        <v>#N/A</v>
      </c>
      <c r="DT33" s="380" t="e">
        <f t="shared" si="41"/>
        <v>#N/A</v>
      </c>
      <c r="DU33" s="380" t="e">
        <f t="shared" si="41"/>
        <v>#N/A</v>
      </c>
      <c r="DV33" s="380" t="e">
        <f t="shared" si="41"/>
        <v>#N/A</v>
      </c>
      <c r="DW33" s="380" t="e">
        <f t="shared" si="41"/>
        <v>#N/A</v>
      </c>
      <c r="DX33" s="380" t="e">
        <f t="shared" si="41"/>
        <v>#N/A</v>
      </c>
      <c r="DY33" s="380" t="e">
        <f t="shared" si="52"/>
        <v>#N/A</v>
      </c>
      <c r="DZ33" s="378" t="e">
        <f t="shared" si="42"/>
        <v>#N/A</v>
      </c>
      <c r="EA33" s="378" t="e">
        <f t="shared" si="42"/>
        <v>#N/A</v>
      </c>
      <c r="EB33" s="378" t="e">
        <f t="shared" si="42"/>
        <v>#N/A</v>
      </c>
      <c r="EC33" s="378" t="e">
        <f t="shared" si="42"/>
        <v>#N/A</v>
      </c>
      <c r="ED33" s="378" t="e">
        <f t="shared" si="42"/>
        <v>#N/A</v>
      </c>
      <c r="EE33" s="378" t="e">
        <f t="shared" si="42"/>
        <v>#N/A</v>
      </c>
      <c r="EF33" s="378" t="e">
        <f t="shared" si="42"/>
        <v>#N/A</v>
      </c>
      <c r="EG33" s="378" t="e">
        <f t="shared" si="42"/>
        <v>#N/A</v>
      </c>
      <c r="EH33" s="378" t="e">
        <f t="shared" si="42"/>
        <v>#N/A</v>
      </c>
      <c r="EI33" s="378" t="e">
        <f t="shared" si="42"/>
        <v>#N/A</v>
      </c>
      <c r="EJ33" s="354" t="e">
        <f t="shared" si="47"/>
        <v>#N/A</v>
      </c>
      <c r="EK33" s="380" t="e">
        <f t="shared" si="43"/>
        <v>#N/A</v>
      </c>
      <c r="EL33" s="380" t="e">
        <f t="shared" si="43"/>
        <v>#N/A</v>
      </c>
      <c r="EM33" s="380" t="e">
        <f t="shared" si="43"/>
        <v>#N/A</v>
      </c>
      <c r="EN33" s="380" t="e">
        <f t="shared" si="43"/>
        <v>#N/A</v>
      </c>
      <c r="EO33" s="380" t="e">
        <f t="shared" si="43"/>
        <v>#N/A</v>
      </c>
      <c r="EP33" s="380" t="e">
        <f t="shared" si="43"/>
        <v>#N/A</v>
      </c>
      <c r="EQ33" s="380" t="e">
        <f t="shared" si="43"/>
        <v>#N/A</v>
      </c>
      <c r="ER33" s="380" t="e">
        <f t="shared" si="43"/>
        <v>#N/A</v>
      </c>
      <c r="ES33" s="380" t="e">
        <f t="shared" si="43"/>
        <v>#N/A</v>
      </c>
      <c r="ET33" s="380" t="e">
        <f t="shared" si="43"/>
        <v>#N/A</v>
      </c>
      <c r="EU33" s="379" t="e">
        <f t="shared" si="48"/>
        <v>#N/A</v>
      </c>
      <c r="EV33" s="382"/>
      <c r="EW33" s="382"/>
      <c r="EX33" s="382"/>
      <c r="EY33" s="382"/>
      <c r="EZ33" s="382"/>
      <c r="FA33" s="382"/>
      <c r="FB33" s="382"/>
    </row>
    <row r="34" spans="1:158" ht="45.5" customHeight="1" x14ac:dyDescent="0.3">
      <c r="A34" s="318"/>
      <c r="B34" s="318"/>
      <c r="C34" s="318"/>
      <c r="D34" s="318"/>
      <c r="E34" s="318"/>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c r="AI34" s="318"/>
      <c r="AJ34" s="318"/>
      <c r="AK34" s="318"/>
      <c r="AL34" s="318"/>
      <c r="AM34" s="317"/>
      <c r="AN34" s="318"/>
      <c r="AO34" s="513"/>
      <c r="AP34" s="513"/>
      <c r="AQ34" s="513"/>
      <c r="AR34" s="513"/>
      <c r="AS34" s="514"/>
      <c r="AT34" s="513"/>
      <c r="AU34" s="318"/>
      <c r="AV34" s="318"/>
      <c r="AW34" s="318"/>
      <c r="AX34" s="318"/>
      <c r="AY34" s="318"/>
      <c r="AZ34" s="318"/>
      <c r="BA34" s="318"/>
      <c r="BB34" s="318"/>
      <c r="BC34" s="318"/>
      <c r="BD34" s="318"/>
      <c r="BE34" s="318"/>
      <c r="BF34" s="318"/>
      <c r="BG34" s="333"/>
      <c r="BH34" s="333"/>
      <c r="BI34" s="333"/>
      <c r="BJ34" s="333"/>
      <c r="BK34" s="333"/>
      <c r="BL34" s="333"/>
      <c r="BM34" s="333"/>
      <c r="BN34" s="333"/>
      <c r="BO34" s="333"/>
      <c r="BP34" s="333"/>
      <c r="BQ34" s="333"/>
      <c r="BR34" s="333"/>
      <c r="BS34" s="333"/>
      <c r="BT34" s="334"/>
      <c r="BU34" s="335"/>
      <c r="BV34" s="144"/>
      <c r="BY34" s="376"/>
      <c r="BZ34" s="373"/>
      <c r="CA34" s="373"/>
      <c r="CB34" s="373"/>
      <c r="CC34" s="373"/>
      <c r="CD34" s="373"/>
      <c r="CE34" s="373"/>
      <c r="CF34" s="373"/>
      <c r="CG34" s="373"/>
      <c r="CH34" s="378" t="e">
        <f t="shared" si="5"/>
        <v>#N/A</v>
      </c>
      <c r="CI34" s="378" t="e">
        <f t="shared" si="6"/>
        <v>#N/A</v>
      </c>
      <c r="CJ34" s="378" t="e">
        <f t="shared" si="7"/>
        <v>#N/A</v>
      </c>
      <c r="CK34" s="378" t="e">
        <f t="shared" si="8"/>
        <v>#N/A</v>
      </c>
      <c r="CL34" s="378" t="e">
        <f t="shared" si="9"/>
        <v>#N/A</v>
      </c>
      <c r="CM34" s="378" t="e">
        <f t="shared" si="10"/>
        <v>#N/A</v>
      </c>
      <c r="CN34" s="378" t="e">
        <f t="shared" si="11"/>
        <v>#N/A</v>
      </c>
      <c r="CO34" s="378" t="e">
        <f t="shared" si="12"/>
        <v>#N/A</v>
      </c>
      <c r="CP34" s="378" t="e">
        <f t="shared" si="13"/>
        <v>#N/A</v>
      </c>
      <c r="CQ34" s="378" t="e">
        <f t="shared" si="14"/>
        <v>#N/A</v>
      </c>
      <c r="CR34" s="354" t="e">
        <f t="shared" si="51"/>
        <v>#N/A</v>
      </c>
      <c r="CS34" s="379" t="e">
        <f>(HLOOKUP($AI34,'Inflation Adjustments'!$B$3:$BT$4,2,TRUE))*CH34</f>
        <v>#N/A</v>
      </c>
      <c r="CT34" s="379" t="e">
        <f>(HLOOKUP($AI34,'Inflation Adjustments'!$B$3:$BT$4,2,TRUE))*CI34</f>
        <v>#N/A</v>
      </c>
      <c r="CU34" s="379" t="e">
        <f>(HLOOKUP($AI34,'Inflation Adjustments'!$B$3:$BT$4,2,TRUE))*CJ34</f>
        <v>#N/A</v>
      </c>
      <c r="CV34" s="379" t="e">
        <f>(HLOOKUP($AI34,'Inflation Adjustments'!$B$3:$BT$4,2,TRUE))*CK34</f>
        <v>#N/A</v>
      </c>
      <c r="CW34" s="379" t="e">
        <f>(HLOOKUP($AI34,'Inflation Adjustments'!$B$3:$BT$4,2,TRUE))*CL34</f>
        <v>#N/A</v>
      </c>
      <c r="CX34" s="379" t="e">
        <f>(HLOOKUP($AI34,'Inflation Adjustments'!$B$3:$BT$4,2,TRUE))*CM34</f>
        <v>#N/A</v>
      </c>
      <c r="CY34" s="379" t="e">
        <f>(HLOOKUP($AI34,'Inflation Adjustments'!$B$3:$BT$4,2,TRUE))*CN34</f>
        <v>#N/A</v>
      </c>
      <c r="CZ34" s="379" t="e">
        <f>(HLOOKUP($AI34,'Inflation Adjustments'!$B$3:$BT$4,2,TRUE))*CO34</f>
        <v>#N/A</v>
      </c>
      <c r="DA34" s="379" t="e">
        <f>(HLOOKUP($AI34,'Inflation Adjustments'!$B$3:$BT$4,2,TRUE))*CP34</f>
        <v>#N/A</v>
      </c>
      <c r="DB34" s="379" t="e">
        <f>(HLOOKUP($AI34,'Inflation Adjustments'!$B$3:$BT$4,2,TRUE))*CQ34</f>
        <v>#N/A</v>
      </c>
      <c r="DC34" s="379" t="e">
        <f t="shared" si="40"/>
        <v>#N/A</v>
      </c>
      <c r="DD34" s="354">
        <f t="shared" si="15"/>
        <v>2022</v>
      </c>
      <c r="DE34" s="378" t="e">
        <f t="shared" si="16"/>
        <v>#N/A</v>
      </c>
      <c r="DF34" s="378" t="e">
        <f t="shared" si="17"/>
        <v>#N/A</v>
      </c>
      <c r="DG34" s="378" t="e">
        <f t="shared" si="18"/>
        <v>#N/A</v>
      </c>
      <c r="DH34" s="378" t="e">
        <f t="shared" si="19"/>
        <v>#N/A</v>
      </c>
      <c r="DI34" s="378" t="e">
        <f t="shared" si="20"/>
        <v>#N/A</v>
      </c>
      <c r="DJ34" s="378" t="e">
        <f t="shared" si="21"/>
        <v>#N/A</v>
      </c>
      <c r="DK34" s="378" t="e">
        <f t="shared" si="45"/>
        <v>#N/A</v>
      </c>
      <c r="DL34" s="378" t="e">
        <f t="shared" si="45"/>
        <v>#N/A</v>
      </c>
      <c r="DM34" s="378" t="e">
        <f t="shared" si="23"/>
        <v>#N/A</v>
      </c>
      <c r="DN34" s="378" t="e">
        <f t="shared" si="24"/>
        <v>#N/A</v>
      </c>
      <c r="DO34" s="380" t="e">
        <f t="shared" si="41"/>
        <v>#N/A</v>
      </c>
      <c r="DP34" s="380" t="e">
        <f t="shared" si="41"/>
        <v>#N/A</v>
      </c>
      <c r="DQ34" s="380" t="e">
        <f t="shared" si="41"/>
        <v>#N/A</v>
      </c>
      <c r="DR34" s="380" t="e">
        <f t="shared" si="41"/>
        <v>#N/A</v>
      </c>
      <c r="DS34" s="380" t="e">
        <f t="shared" si="41"/>
        <v>#N/A</v>
      </c>
      <c r="DT34" s="380" t="e">
        <f t="shared" si="41"/>
        <v>#N/A</v>
      </c>
      <c r="DU34" s="380" t="e">
        <f t="shared" si="41"/>
        <v>#N/A</v>
      </c>
      <c r="DV34" s="380" t="e">
        <f t="shared" si="41"/>
        <v>#N/A</v>
      </c>
      <c r="DW34" s="380" t="e">
        <f t="shared" si="41"/>
        <v>#N/A</v>
      </c>
      <c r="DX34" s="380" t="e">
        <f t="shared" si="41"/>
        <v>#N/A</v>
      </c>
      <c r="DY34" s="380" t="e">
        <f t="shared" si="52"/>
        <v>#N/A</v>
      </c>
      <c r="DZ34" s="378" t="e">
        <f t="shared" si="42"/>
        <v>#N/A</v>
      </c>
      <c r="EA34" s="378" t="e">
        <f t="shared" si="42"/>
        <v>#N/A</v>
      </c>
      <c r="EB34" s="378" t="e">
        <f t="shared" si="42"/>
        <v>#N/A</v>
      </c>
      <c r="EC34" s="378" t="e">
        <f t="shared" si="42"/>
        <v>#N/A</v>
      </c>
      <c r="ED34" s="378" t="e">
        <f t="shared" si="42"/>
        <v>#N/A</v>
      </c>
      <c r="EE34" s="378" t="e">
        <f t="shared" si="42"/>
        <v>#N/A</v>
      </c>
      <c r="EF34" s="378" t="e">
        <f t="shared" si="42"/>
        <v>#N/A</v>
      </c>
      <c r="EG34" s="378" t="e">
        <f t="shared" si="42"/>
        <v>#N/A</v>
      </c>
      <c r="EH34" s="378" t="e">
        <f t="shared" si="42"/>
        <v>#N/A</v>
      </c>
      <c r="EI34" s="378" t="e">
        <f t="shared" si="42"/>
        <v>#N/A</v>
      </c>
      <c r="EJ34" s="354" t="e">
        <f t="shared" si="47"/>
        <v>#N/A</v>
      </c>
      <c r="EK34" s="380" t="e">
        <f t="shared" si="43"/>
        <v>#N/A</v>
      </c>
      <c r="EL34" s="380" t="e">
        <f t="shared" si="43"/>
        <v>#N/A</v>
      </c>
      <c r="EM34" s="380" t="e">
        <f t="shared" si="43"/>
        <v>#N/A</v>
      </c>
      <c r="EN34" s="380" t="e">
        <f t="shared" si="43"/>
        <v>#N/A</v>
      </c>
      <c r="EO34" s="380" t="e">
        <f t="shared" si="43"/>
        <v>#N/A</v>
      </c>
      <c r="EP34" s="380" t="e">
        <f t="shared" si="43"/>
        <v>#N/A</v>
      </c>
      <c r="EQ34" s="380" t="e">
        <f t="shared" si="43"/>
        <v>#N/A</v>
      </c>
      <c r="ER34" s="380" t="e">
        <f t="shared" si="43"/>
        <v>#N/A</v>
      </c>
      <c r="ES34" s="380" t="e">
        <f t="shared" si="43"/>
        <v>#N/A</v>
      </c>
      <c r="ET34" s="380" t="e">
        <f t="shared" si="43"/>
        <v>#N/A</v>
      </c>
      <c r="EU34" s="379" t="e">
        <f t="shared" si="48"/>
        <v>#N/A</v>
      </c>
      <c r="EV34" s="382"/>
      <c r="EW34" s="382"/>
      <c r="EX34" s="382"/>
      <c r="EY34" s="382"/>
      <c r="EZ34" s="382"/>
      <c r="FA34" s="382"/>
      <c r="FB34" s="382"/>
    </row>
    <row r="35" spans="1:158" x14ac:dyDescent="0.3">
      <c r="AM35" s="385"/>
      <c r="AO35" s="385"/>
      <c r="AP35" s="385"/>
      <c r="AQ35" s="385"/>
      <c r="AS35" s="385"/>
      <c r="AT35" s="385"/>
      <c r="BG35" s="282"/>
    </row>
    <row r="36" spans="1:158" x14ac:dyDescent="0.3">
      <c r="BG36" s="282"/>
    </row>
    <row r="37" spans="1:158" x14ac:dyDescent="0.3">
      <c r="BG37" s="282"/>
    </row>
    <row r="38" spans="1:158" x14ac:dyDescent="0.3">
      <c r="BG38" s="282"/>
    </row>
    <row r="41" spans="1:158" x14ac:dyDescent="0.3">
      <c r="BF41" s="282"/>
    </row>
    <row r="42" spans="1:158" x14ac:dyDescent="0.3">
      <c r="BF42" s="282"/>
    </row>
    <row r="43" spans="1:158" x14ac:dyDescent="0.3">
      <c r="BF43" s="282"/>
    </row>
    <row r="44" spans="1:158" x14ac:dyDescent="0.3">
      <c r="BF44" s="282"/>
    </row>
    <row r="51" spans="2:46" ht="39" customHeight="1" x14ac:dyDescent="0.3">
      <c r="B51" s="91" t="s">
        <v>52</v>
      </c>
      <c r="AM51" s="508">
        <f>SUM(AM5:AM5)</f>
        <v>233743.19534168029</v>
      </c>
      <c r="AN51" s="508">
        <f t="shared" ref="AN51:AT51" si="53">SUM(AN5:AN5)</f>
        <v>0</v>
      </c>
      <c r="AO51" s="508">
        <f t="shared" si="53"/>
        <v>199077.76738008263</v>
      </c>
      <c r="AP51" s="508">
        <f t="shared" si="53"/>
        <v>34665.427961597656</v>
      </c>
      <c r="AQ51" s="508">
        <f t="shared" si="53"/>
        <v>2754.0017726569249</v>
      </c>
      <c r="AR51" s="508">
        <f t="shared" si="53"/>
        <v>31911.426188940732</v>
      </c>
      <c r="AS51" s="508">
        <f t="shared" si="53"/>
        <v>1481202.8929687499</v>
      </c>
      <c r="AT51" s="508">
        <f t="shared" si="53"/>
        <v>7406.014464843749</v>
      </c>
    </row>
  </sheetData>
  <mergeCells count="62">
    <mergeCell ref="A1:B1"/>
    <mergeCell ref="A2:I2"/>
    <mergeCell ref="J2:AE2"/>
    <mergeCell ref="AF2:AR2"/>
    <mergeCell ref="AS2:BG2"/>
    <mergeCell ref="DO2:EJ2"/>
    <mergeCell ref="EV2:FB2"/>
    <mergeCell ref="J3:S3"/>
    <mergeCell ref="T3:AC3"/>
    <mergeCell ref="AS3:AS4"/>
    <mergeCell ref="AT3:AT4"/>
    <mergeCell ref="AU3:BD3"/>
    <mergeCell ref="BE3:BE4"/>
    <mergeCell ref="BF3:BF4"/>
    <mergeCell ref="BH3:BH4"/>
    <mergeCell ref="BH2:BT2"/>
    <mergeCell ref="BT3:BT4"/>
    <mergeCell ref="BI3:BI4"/>
    <mergeCell ref="BJ3:BJ4"/>
    <mergeCell ref="BK3:BK4"/>
    <mergeCell ref="BL3:BL4"/>
    <mergeCell ref="BM3:BM4"/>
    <mergeCell ref="BN3:BN4"/>
    <mergeCell ref="BO3:BO4"/>
    <mergeCell ref="BP3:BP4"/>
    <mergeCell ref="BQ3:BQ4"/>
    <mergeCell ref="BR3:BR4"/>
    <mergeCell ref="BS3:BS4"/>
    <mergeCell ref="EZ3:EZ4"/>
    <mergeCell ref="BU3:BU4"/>
    <mergeCell ref="CH3:CR3"/>
    <mergeCell ref="CS3:DC3"/>
    <mergeCell ref="DE3:DN3"/>
    <mergeCell ref="DO3:DY3"/>
    <mergeCell ref="DZ3:EJ3"/>
    <mergeCell ref="EK3:EU3"/>
    <mergeCell ref="EV3:EV4"/>
    <mergeCell ref="EW3:EW4"/>
    <mergeCell ref="EX3:EX4"/>
    <mergeCell ref="EY3:EY4"/>
    <mergeCell ref="FD16:FH16"/>
    <mergeCell ref="FA3:FA4"/>
    <mergeCell ref="FB3:FB4"/>
    <mergeCell ref="FE5:FI5"/>
    <mergeCell ref="FE6:FI6"/>
    <mergeCell ref="FD9:FI9"/>
    <mergeCell ref="FD10:FI10"/>
    <mergeCell ref="FD11:FI11"/>
    <mergeCell ref="FE12:FH12"/>
    <mergeCell ref="FD13:FH13"/>
    <mergeCell ref="FD14:FH14"/>
    <mergeCell ref="FD15:FH15"/>
    <mergeCell ref="FE23:FH23"/>
    <mergeCell ref="FE24:FH24"/>
    <mergeCell ref="FE29:FH29"/>
    <mergeCell ref="FE30:FH30"/>
    <mergeCell ref="FE17:FI17"/>
    <mergeCell ref="FE18:FH18"/>
    <mergeCell ref="FE19:FH19"/>
    <mergeCell ref="FE20:FH20"/>
    <mergeCell ref="FE21:FH21"/>
    <mergeCell ref="FE22:FH22"/>
  </mergeCells>
  <conditionalFormatting sqref="AU5:BA34">
    <cfRule type="cellIs" dxfId="205" priority="13" operator="equal">
      <formula>3</formula>
    </cfRule>
    <cfRule type="cellIs" dxfId="204" priority="14" operator="equal">
      <formula>1</formula>
    </cfRule>
    <cfRule type="cellIs" dxfId="203" priority="15" operator="equal">
      <formula>2</formula>
    </cfRule>
    <cfRule type="cellIs" dxfId="202" priority="16" operator="equal">
      <formula>3</formula>
    </cfRule>
    <cfRule type="cellIs" dxfId="201" priority="17" operator="greaterThan">
      <formula>3.9</formula>
    </cfRule>
  </conditionalFormatting>
  <conditionalFormatting sqref="BE1:BE50 BE52:BE1048576">
    <cfRule type="cellIs" dxfId="200" priority="9" operator="equal">
      <formula>1</formula>
    </cfRule>
    <cfRule type="cellIs" dxfId="199" priority="10" operator="equal">
      <formula>2</formula>
    </cfRule>
    <cfRule type="cellIs" dxfId="198" priority="11" operator="equal">
      <formula>3</formula>
    </cfRule>
  </conditionalFormatting>
  <conditionalFormatting sqref="BE5:BE34">
    <cfRule type="cellIs" dxfId="197" priority="12" operator="greaterThan">
      <formula>3.5</formula>
    </cfRule>
  </conditionalFormatting>
  <conditionalFormatting sqref="BG5:BG8">
    <cfRule type="cellIs" dxfId="196" priority="1" operator="lessThan">
      <formula>0.3</formula>
    </cfRule>
    <cfRule type="cellIs" dxfId="195" priority="2" operator="between">
      <formula>0.3</formula>
      <formula>0.5</formula>
    </cfRule>
    <cfRule type="cellIs" dxfId="194" priority="3" operator="between">
      <formula>0.5</formula>
      <formula>0.6</formula>
    </cfRule>
    <cfRule type="cellIs" dxfId="193" priority="4" operator="greaterThan">
      <formula>0.6</formula>
    </cfRule>
    <cfRule type="cellIs" dxfId="192" priority="5" operator="lessThan">
      <formula>0.21</formula>
    </cfRule>
    <cfRule type="cellIs" dxfId="191" priority="6" operator="between">
      <formula>0.21</formula>
      <formula>0.4</formula>
    </cfRule>
    <cfRule type="cellIs" dxfId="190" priority="7" operator="between">
      <formula>0.4</formula>
      <formula>0.6</formula>
    </cfRule>
    <cfRule type="cellIs" dxfId="189" priority="8" operator="lessThan">
      <formula>0.5</formula>
    </cfRule>
  </conditionalFormatting>
  <dataValidations count="8">
    <dataValidation type="list" allowBlank="1" showInputMessage="1" showErrorMessage="1" sqref="C15" xr:uid="{4FBF5134-25DC-4316-A25D-46642C48A231}">
      <formula1>$B$4:$B$53</formula1>
    </dataValidation>
    <dataValidation type="list" allowBlank="1" showInputMessage="1" showErrorMessage="1" sqref="K25:K26" xr:uid="{A6C745CA-DD03-41EB-B356-54E8BF6B537C}">
      <formula1>$J$19:$J$26</formula1>
    </dataValidation>
    <dataValidation type="list" allowBlank="1" showInputMessage="1" showErrorMessage="1" sqref="R25:R26 R28:R34" xr:uid="{72DC0D33-7E9B-4368-9D16-22E74FD4C4E7}">
      <formula1>$J$92:$J$95</formula1>
    </dataValidation>
    <dataValidation type="list" allowBlank="1" showInputMessage="1" showErrorMessage="1" sqref="D13:D18 D20:D34" xr:uid="{9C39287A-E00C-4C66-8ED2-F07359B49B09}">
      <formula1>$D$4:$D$19</formula1>
    </dataValidation>
    <dataValidation type="list" allowBlank="1" showInputMessage="1" showErrorMessage="1" sqref="F19 F25:F26" xr:uid="{C70F87E7-C2D9-42C3-A04C-247608E04F2A}">
      <formula1>$H$4:$H$21</formula1>
    </dataValidation>
    <dataValidation type="list" allowBlank="1" showInputMessage="1" showErrorMessage="1" sqref="N5:N15 N27" xr:uid="{631CF6D0-711B-4E4B-8442-E7CEFA45BB4D}">
      <formula1>$J$52:$J$58</formula1>
    </dataValidation>
    <dataValidation type="list" allowBlank="1" showInputMessage="1" showErrorMessage="1" sqref="P17:P24" xr:uid="{357F72CD-D595-4439-8FDD-F6368EBE60A2}">
      <formula1>$J$72:$J$77</formula1>
    </dataValidation>
    <dataValidation type="list" allowBlank="1" showInputMessage="1" showErrorMessage="1" sqref="Y4:AC4" xr:uid="{6830E357-FCD0-4905-8C45-DBDC05BA2AC1}">
      <formula1>$I$4:$I$16</formula1>
    </dataValidation>
  </dataValidations>
  <pageMargins left="0.7" right="0.7" top="0.75" bottom="0.75" header="0.3" footer="0.3"/>
  <headerFooter>
    <oddFooter>&amp;C_x000D_&amp;1#&amp;"Calibri"&amp;8&amp;K000000 INTERNAL. This information is accessible to ADB Management and staff. It may be shared outside ADB with appropriate permission.</oddFooter>
  </headerFooter>
  <extLst>
    <ext xmlns:x14="http://schemas.microsoft.com/office/spreadsheetml/2009/9/main" uri="{CCE6A557-97BC-4b89-ADB6-D9C93CAAB3DF}">
      <x14:dataValidations xmlns:xm="http://schemas.microsoft.com/office/excel/2006/main" count="18">
        <x14:dataValidation type="list" allowBlank="1" showInputMessage="1" showErrorMessage="1" xr:uid="{8856C13F-6C4B-43F5-9253-4D81B64418E9}">
          <x14:formula1>
            <xm:f>'AR-Hierarchy '!$B$4:$B$53</xm:f>
          </x14:formula1>
          <xm:sqref>C5:C13 C25:C34</xm:sqref>
        </x14:dataValidation>
        <x14:dataValidation type="list" allowBlank="1" showInputMessage="1" showErrorMessage="1" xr:uid="{F4B19A74-0FD6-4ADC-9402-2F7D5208D6A1}">
          <x14:formula1>
            <xm:f>'AR-Hierarchy '!$D$4:$D$33</xm:f>
          </x14:formula1>
          <xm:sqref>D5</xm:sqref>
        </x14:dataValidation>
        <x14:dataValidation type="list" allowBlank="1" showInputMessage="1" showErrorMessage="1" xr:uid="{4C44D7E7-CB4B-4153-A696-4578CD35EF9B}">
          <x14:formula1>
            <xm:f>'AR-Hierarchy '!#REF!</xm:f>
          </x14:formula1>
          <xm:sqref>D6:D12 E5:E13 E25:E34</xm:sqref>
        </x14:dataValidation>
        <x14:dataValidation type="list" allowBlank="1" showInputMessage="1" showErrorMessage="1" xr:uid="{DD137EA1-00F8-4553-8443-0CF6A6E2C8BE}">
          <x14:formula1>
            <xm:f>'AR-Hierarchy '!$J$86:$J$90</xm:f>
          </x14:formula1>
          <xm:sqref>S5:S34</xm:sqref>
        </x14:dataValidation>
        <x14:dataValidation type="list" allowBlank="1" showInputMessage="1" showErrorMessage="1" xr:uid="{280B2CB5-7E8A-4BE4-85D5-F492A9C2FFD8}">
          <x14:formula1>
            <xm:f>'AR-Hierarchy '!$J$72:$J$77</xm:f>
          </x14:formula1>
          <xm:sqref>Q5:Q34</xm:sqref>
        </x14:dataValidation>
        <x14:dataValidation type="list" allowBlank="1" showInputMessage="1" showErrorMessage="1" xr:uid="{D30E7C5D-4CC2-4B38-89F8-F37E14B02A5B}">
          <x14:formula1>
            <xm:f>'AR-Hierarchy '!$J$54:$J$60</xm:f>
          </x14:formula1>
          <xm:sqref>O5:O34</xm:sqref>
        </x14:dataValidation>
        <x14:dataValidation type="list" allowBlank="1" showInputMessage="1" showErrorMessage="1" xr:uid="{BDF73271-05F4-4038-B9FA-2EC0E49635BB}">
          <x14:formula1>
            <xm:f>'AR-Hierarchy '!$J$35:$J$41</xm:f>
          </x14:formula1>
          <xm:sqref>M5:M34</xm:sqref>
        </x14:dataValidation>
        <x14:dataValidation type="list" allowBlank="1" showInputMessage="1" showErrorMessage="1" xr:uid="{FF81DA3D-2FA6-4FEB-BE73-432E30C8DE2F}">
          <x14:formula1>
            <xm:f>'AR-Hierarchy '!$J$24:$J$32</xm:f>
          </x14:formula1>
          <xm:sqref>L5:L34</xm:sqref>
        </x14:dataValidation>
        <x14:dataValidation type="list" allowBlank="1" showInputMessage="1" showErrorMessage="1" xr:uid="{47051C50-E994-44A3-A455-5049BD13468A}">
          <x14:formula1>
            <xm:f>'AR-Hierarchy '!$J$5:$J$12</xm:f>
          </x14:formula1>
          <xm:sqref>J5:J34</xm:sqref>
        </x14:dataValidation>
        <x14:dataValidation type="list" allowBlank="1" showInputMessage="1" showErrorMessage="1" xr:uid="{16D54963-4B71-4B30-B5CB-39429A7FA061}">
          <x14:formula1>
            <xm:f>'AR-Hierarchy '!$K$4:$K$17</xm:f>
          </x14:formula1>
          <xm:sqref>T5:AC34</xm:sqref>
        </x14:dataValidation>
        <x14:dataValidation type="list" allowBlank="1" showInputMessage="1" showErrorMessage="1" xr:uid="{8945DF1F-BAA1-44A1-AD80-03D758290383}">
          <x14:formula1>
            <xm:f>'AR-Hierarchy '!$J$80:$J$83</xm:f>
          </x14:formula1>
          <xm:sqref>R5:R24 R27</xm:sqref>
        </x14:dataValidation>
        <x14:dataValidation type="list" allowBlank="1" showInputMessage="1" showErrorMessage="1" xr:uid="{6851DEFD-A792-4789-8EFF-CC34048A8AFE}">
          <x14:formula1>
            <xm:f>'AR-Hierarchy '!$J$63:$J$68</xm:f>
          </x14:formula1>
          <xm:sqref>P5:P14 P25:P34</xm:sqref>
        </x14:dataValidation>
        <x14:dataValidation type="list" allowBlank="1" showInputMessage="1" showErrorMessage="1" xr:uid="{865E569C-4C1F-4FC6-A536-8832D1086D65}">
          <x14:formula1>
            <xm:f>'AR-Hierarchy '!$J$45:$J$51</xm:f>
          </x14:formula1>
          <xm:sqref>N17:N26 N28:N34</xm:sqref>
        </x14:dataValidation>
        <x14:dataValidation type="list" allowBlank="1" showInputMessage="1" showErrorMessage="1" xr:uid="{7032098E-C498-4D47-8297-15DACCB5ECE1}">
          <x14:formula1>
            <xm:f>'AR-Hierarchy '!$J$14:$J$21</xm:f>
          </x14:formula1>
          <xm:sqref>K5:K24 K27:K34</xm:sqref>
        </x14:dataValidation>
        <x14:dataValidation type="list" allowBlank="1" showInputMessage="1" showErrorMessage="1" xr:uid="{5C8DAFF4-938F-4110-B026-2137A089D997}">
          <x14:formula1>
            <xm:f>'AR-Hierarchy '!$I$4:$I$14</xm:f>
          </x14:formula1>
          <xm:sqref>J4:S4</xm:sqref>
        </x14:dataValidation>
        <x14:dataValidation type="list" allowBlank="1" showInputMessage="1" showErrorMessage="1" xr:uid="{16F484CE-C529-4C27-87BD-EF20EE3B1945}">
          <x14:formula1>
            <xm:f>'AR-Hierarchy '!$H$4:$H$20</xm:f>
          </x14:formula1>
          <xm:sqref>F5:F16 F27:F34</xm:sqref>
        </x14:dataValidation>
        <x14:dataValidation type="list" allowBlank="1" showInputMessage="1" showErrorMessage="1" xr:uid="{833CF7C7-6082-4512-9AB1-1457D4F11D61}">
          <x14:formula1>
            <xm:f>'Inflation Adjustments'!$B$3:$BT$3</xm:f>
          </x14:formula1>
          <xm:sqref>AG5:AG11 AG19 AG25:AG26 AG28:AG34</xm:sqref>
        </x14:dataValidation>
        <x14:dataValidation type="list" allowBlank="1" showInputMessage="1" showErrorMessage="1" xr:uid="{60A4CA3C-E860-435A-97DF-D62493CF1DB6}">
          <x14:formula1>
            <xm:f>'Condition rating weights'!$C$29:$C$34</xm:f>
          </x14:formula1>
          <xm:sqref>AU5:BF5 AW25:BE25 AW6:BF22 AW23:AW24 AX23:BE23 AX24:AZ24 BF23:BF25 AW26:BF34 AU6:AV34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A9EAB-5FE1-420F-A908-D4006463A72A}">
  <dimension ref="A1:FG50"/>
  <sheetViews>
    <sheetView topLeftCell="AJ26" zoomScaleNormal="100" workbookViewId="0">
      <selection activeCell="AP37" sqref="AP37"/>
    </sheetView>
  </sheetViews>
  <sheetFormatPr defaultColWidth="8.81640625" defaultRowHeight="14" x14ac:dyDescent="0.3"/>
  <cols>
    <col min="1" max="1" width="10.90625" style="91" customWidth="1"/>
    <col min="2" max="2" width="20.81640625" style="91" customWidth="1"/>
    <col min="3" max="31" width="30.6328125" style="91" customWidth="1"/>
    <col min="32" max="32" width="8.81640625" style="91" customWidth="1"/>
    <col min="33" max="33" width="11.1796875" style="91" customWidth="1"/>
    <col min="34" max="34" width="9.81640625" style="91" customWidth="1"/>
    <col min="35" max="35" width="8.81640625" style="91" customWidth="1"/>
    <col min="36" max="36" width="10" style="91" customWidth="1"/>
    <col min="37" max="37" width="8.81640625" style="91" customWidth="1"/>
    <col min="38" max="38" width="11.54296875" style="91" customWidth="1"/>
    <col min="39" max="39" width="11.81640625" style="91" customWidth="1"/>
    <col min="40" max="40" width="10.81640625" style="91" customWidth="1"/>
    <col min="41" max="41" width="14.1796875" style="91" customWidth="1"/>
    <col min="42" max="42" width="16.1796875" style="91" customWidth="1"/>
    <col min="43" max="43" width="11.36328125" style="91" customWidth="1"/>
    <col min="44" max="44" width="14.54296875" style="91" customWidth="1"/>
    <col min="45" max="45" width="12.54296875" style="91" customWidth="1"/>
    <col min="46" max="46" width="13" style="91" customWidth="1"/>
    <col min="47" max="47" width="11.81640625" style="91" customWidth="1"/>
    <col min="48" max="52" width="8.81640625" style="91"/>
    <col min="53" max="53" width="13" style="91" customWidth="1"/>
    <col min="54" max="54" width="0" style="91" hidden="1" customWidth="1"/>
    <col min="55" max="55" width="9.90625" style="91" hidden="1" customWidth="1"/>
    <col min="56" max="56" width="0" style="91" hidden="1" customWidth="1"/>
    <col min="57" max="57" width="13.54296875" style="91" customWidth="1"/>
    <col min="58" max="58" width="18.81640625" style="91" hidden="1" customWidth="1"/>
    <col min="59" max="59" width="11.08984375" style="91" customWidth="1"/>
    <col min="60" max="70" width="8.81640625" style="91"/>
    <col min="71" max="71" width="10.90625" style="91" customWidth="1"/>
    <col min="72" max="73" width="8.81640625" style="290"/>
    <col min="74" max="76" width="8.81640625" style="91"/>
    <col min="77" max="77" width="16.08984375" style="144" customWidth="1"/>
    <col min="78" max="85" width="8.81640625" style="144"/>
    <col min="86" max="86" width="12.08984375" style="144" customWidth="1"/>
    <col min="87" max="87" width="10.90625" style="144" customWidth="1"/>
    <col min="88" max="88" width="11.81640625" style="144" customWidth="1"/>
    <col min="89" max="89" width="11" style="144" customWidth="1"/>
    <col min="90" max="90" width="11.453125" style="144" customWidth="1"/>
    <col min="91" max="91" width="12.54296875" style="144" bestFit="1" customWidth="1"/>
    <col min="92" max="92" width="11.08984375" style="144" bestFit="1" customWidth="1"/>
    <col min="93" max="93" width="8.81640625" style="144"/>
    <col min="94" max="94" width="10.453125" style="144" customWidth="1"/>
    <col min="95" max="95" width="11.08984375" style="144" bestFit="1" customWidth="1"/>
    <col min="96" max="101" width="12.1796875" style="144" customWidth="1"/>
    <col min="102" max="102" width="11.90625" style="144" customWidth="1"/>
    <col min="103" max="103" width="10.6328125" style="144" customWidth="1"/>
    <col min="104" max="104" width="8.81640625" style="144"/>
    <col min="105" max="105" width="10.81640625" style="144" customWidth="1"/>
    <col min="106" max="106" width="8.81640625" style="144"/>
    <col min="107" max="107" width="12" style="144" customWidth="1"/>
    <col min="108" max="108" width="16.36328125" style="144" customWidth="1"/>
    <col min="109" max="109" width="11.1796875" style="144" customWidth="1"/>
    <col min="110" max="113" width="10.6328125" style="144" customWidth="1"/>
    <col min="114" max="114" width="10" style="144" customWidth="1"/>
    <col min="115" max="115" width="10.90625" style="144" customWidth="1"/>
    <col min="116" max="116" width="9.08984375" style="144" bestFit="1" customWidth="1"/>
    <col min="117" max="117" width="10.81640625" style="144" customWidth="1"/>
    <col min="118" max="118" width="8.81640625" style="144"/>
    <col min="119" max="119" width="11.36328125" style="144" customWidth="1"/>
    <col min="120" max="123" width="10.81640625" style="144" customWidth="1"/>
    <col min="124" max="124" width="8.81640625" style="144" bestFit="1" customWidth="1"/>
    <col min="125" max="125" width="9.08984375" style="144" bestFit="1" customWidth="1"/>
    <col min="126" max="127" width="8.81640625" style="144" bestFit="1" customWidth="1"/>
    <col min="128" max="129" width="8.81640625" style="144" customWidth="1"/>
    <col min="130" max="130" width="11.36328125" style="144" customWidth="1"/>
    <col min="131" max="135" width="10.08984375" style="144" customWidth="1"/>
    <col min="136" max="139" width="8.81640625" style="144"/>
    <col min="140" max="140" width="11.08984375" style="144" bestFit="1" customWidth="1"/>
    <col min="141" max="151" width="11.08984375" style="144" customWidth="1"/>
    <col min="152" max="155" width="11.54296875" style="144" customWidth="1"/>
    <col min="156" max="156" width="11.81640625" style="144" customWidth="1"/>
    <col min="157" max="158" width="12.1796875" style="144" customWidth="1"/>
    <col min="159" max="16384" width="8.81640625" style="91"/>
  </cols>
  <sheetData>
    <row r="1" spans="1:163" ht="29.5" customHeight="1" thickTop="1" x14ac:dyDescent="0.3">
      <c r="A1" s="621" t="s">
        <v>32</v>
      </c>
      <c r="B1" s="622"/>
      <c r="C1" s="288">
        <v>2023</v>
      </c>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row>
    <row r="2" spans="1:163" ht="50.5" customHeight="1" thickBot="1" x14ac:dyDescent="0.35">
      <c r="A2" s="655" t="s">
        <v>1399</v>
      </c>
      <c r="B2" s="623"/>
      <c r="C2" s="623"/>
      <c r="D2" s="623"/>
      <c r="E2" s="623"/>
      <c r="F2" s="623"/>
      <c r="G2" s="623"/>
      <c r="H2" s="623"/>
      <c r="I2" s="656"/>
      <c r="J2" s="624" t="s">
        <v>298</v>
      </c>
      <c r="K2" s="585"/>
      <c r="L2" s="585"/>
      <c r="M2" s="585"/>
      <c r="N2" s="585"/>
      <c r="O2" s="585"/>
      <c r="P2" s="585"/>
      <c r="Q2" s="585"/>
      <c r="R2" s="585"/>
      <c r="S2" s="585"/>
      <c r="T2" s="585"/>
      <c r="U2" s="585"/>
      <c r="V2" s="585"/>
      <c r="W2" s="585"/>
      <c r="X2" s="585"/>
      <c r="Y2" s="585"/>
      <c r="Z2" s="585"/>
      <c r="AA2" s="585"/>
      <c r="AB2" s="585"/>
      <c r="AC2" s="585"/>
      <c r="AD2" s="585"/>
      <c r="AE2" s="586"/>
      <c r="AF2" s="592" t="s">
        <v>267</v>
      </c>
      <c r="AG2" s="593"/>
      <c r="AH2" s="593"/>
      <c r="AI2" s="593"/>
      <c r="AJ2" s="593"/>
      <c r="AK2" s="593"/>
      <c r="AL2" s="593"/>
      <c r="AM2" s="593"/>
      <c r="AN2" s="593"/>
      <c r="AO2" s="593"/>
      <c r="AP2" s="593"/>
      <c r="AQ2" s="593"/>
      <c r="AR2" s="594"/>
      <c r="AS2" s="592" t="s">
        <v>268</v>
      </c>
      <c r="AT2" s="593"/>
      <c r="AU2" s="593"/>
      <c r="AV2" s="593"/>
      <c r="AW2" s="593"/>
      <c r="AX2" s="593"/>
      <c r="AY2" s="593"/>
      <c r="AZ2" s="593"/>
      <c r="BA2" s="593"/>
      <c r="BB2" s="593"/>
      <c r="BC2" s="593"/>
      <c r="BD2" s="593"/>
      <c r="BE2" s="593"/>
      <c r="BF2" s="593"/>
      <c r="BG2" s="593"/>
      <c r="BH2" s="597" t="s">
        <v>312</v>
      </c>
      <c r="BI2" s="598"/>
      <c r="BJ2" s="598"/>
      <c r="BK2" s="598"/>
      <c r="BL2" s="598"/>
      <c r="BM2" s="598"/>
      <c r="BN2" s="598"/>
      <c r="BO2" s="598"/>
      <c r="BP2" s="598"/>
      <c r="BQ2" s="598"/>
      <c r="BR2" s="598"/>
      <c r="BS2" s="598"/>
      <c r="BT2" s="598"/>
      <c r="BU2" s="370"/>
      <c r="DO2" s="638" t="s">
        <v>828</v>
      </c>
      <c r="DP2" s="638"/>
      <c r="DQ2" s="638"/>
      <c r="DR2" s="638"/>
      <c r="DS2" s="638"/>
      <c r="DT2" s="638"/>
      <c r="DU2" s="638"/>
      <c r="DV2" s="638"/>
      <c r="DW2" s="638"/>
      <c r="DX2" s="638"/>
      <c r="DY2" s="638"/>
      <c r="DZ2" s="638"/>
      <c r="EA2" s="638"/>
      <c r="EB2" s="638"/>
      <c r="EC2" s="638"/>
      <c r="ED2" s="638"/>
      <c r="EE2" s="638"/>
      <c r="EF2" s="638"/>
      <c r="EG2" s="638"/>
      <c r="EH2" s="638"/>
      <c r="EI2" s="638"/>
      <c r="EJ2" s="638"/>
      <c r="EV2" s="639" t="s">
        <v>829</v>
      </c>
      <c r="EW2" s="639"/>
      <c r="EX2" s="639"/>
      <c r="EY2" s="639"/>
      <c r="EZ2" s="639"/>
      <c r="FA2" s="639"/>
      <c r="FB2" s="639"/>
    </row>
    <row r="3" spans="1:163" ht="42.5" thickTop="1" x14ac:dyDescent="0.3">
      <c r="A3" s="293" t="s">
        <v>0</v>
      </c>
      <c r="B3" s="294" t="s">
        <v>34</v>
      </c>
      <c r="C3" s="294" t="s">
        <v>250</v>
      </c>
      <c r="D3" s="294" t="s">
        <v>251</v>
      </c>
      <c r="E3" s="294" t="s">
        <v>1</v>
      </c>
      <c r="F3" s="294" t="s">
        <v>2</v>
      </c>
      <c r="G3" s="294" t="s">
        <v>252</v>
      </c>
      <c r="H3" s="294" t="s">
        <v>30</v>
      </c>
      <c r="I3" s="294" t="s">
        <v>31</v>
      </c>
      <c r="J3" s="616" t="s">
        <v>253</v>
      </c>
      <c r="K3" s="625"/>
      <c r="L3" s="625"/>
      <c r="M3" s="625"/>
      <c r="N3" s="625"/>
      <c r="O3" s="625"/>
      <c r="P3" s="625"/>
      <c r="Q3" s="625"/>
      <c r="R3" s="625"/>
      <c r="S3" s="626"/>
      <c r="T3" s="616" t="s">
        <v>254</v>
      </c>
      <c r="U3" s="625"/>
      <c r="V3" s="625"/>
      <c r="W3" s="625"/>
      <c r="X3" s="625"/>
      <c r="Y3" s="625"/>
      <c r="Z3" s="625"/>
      <c r="AA3" s="625"/>
      <c r="AB3" s="625"/>
      <c r="AC3" s="626"/>
      <c r="AD3" s="616" t="s">
        <v>255</v>
      </c>
      <c r="AE3" s="626"/>
      <c r="AF3" s="294" t="s">
        <v>259</v>
      </c>
      <c r="AG3" s="603" t="s">
        <v>38</v>
      </c>
      <c r="AH3" s="604"/>
      <c r="AI3" s="603" t="s">
        <v>261</v>
      </c>
      <c r="AJ3" s="591"/>
      <c r="AK3" s="296"/>
      <c r="AL3" s="296"/>
      <c r="AM3" s="591" t="s">
        <v>262</v>
      </c>
      <c r="AN3" s="591"/>
      <c r="AO3" s="591" t="s">
        <v>263</v>
      </c>
      <c r="AP3" s="591" t="s">
        <v>326</v>
      </c>
      <c r="AQ3" s="604" t="s">
        <v>33</v>
      </c>
      <c r="AR3" s="609" t="s">
        <v>264</v>
      </c>
      <c r="AS3" s="609" t="s">
        <v>265</v>
      </c>
      <c r="AT3" s="609" t="s">
        <v>266</v>
      </c>
      <c r="AU3" s="603" t="s">
        <v>53</v>
      </c>
      <c r="AV3" s="591"/>
      <c r="AW3" s="591"/>
      <c r="AX3" s="591"/>
      <c r="AY3" s="591"/>
      <c r="AZ3" s="591"/>
      <c r="BA3" s="591"/>
      <c r="BB3" s="591"/>
      <c r="BC3" s="591"/>
      <c r="BD3" s="604"/>
      <c r="BE3" s="609" t="s">
        <v>1629</v>
      </c>
      <c r="BF3" s="609"/>
      <c r="BG3" s="295" t="s">
        <v>1442</v>
      </c>
      <c r="BH3" s="605" t="s">
        <v>299</v>
      </c>
      <c r="BI3" s="605" t="s">
        <v>300</v>
      </c>
      <c r="BJ3" s="605" t="s">
        <v>301</v>
      </c>
      <c r="BK3" s="605" t="s">
        <v>302</v>
      </c>
      <c r="BL3" s="605" t="s">
        <v>303</v>
      </c>
      <c r="BM3" s="605" t="s">
        <v>304</v>
      </c>
      <c r="BN3" s="605" t="s">
        <v>305</v>
      </c>
      <c r="BO3" s="605" t="s">
        <v>306</v>
      </c>
      <c r="BP3" s="605" t="s">
        <v>307</v>
      </c>
      <c r="BQ3" s="605" t="s">
        <v>308</v>
      </c>
      <c r="BR3" s="605" t="s">
        <v>309</v>
      </c>
      <c r="BS3" s="605" t="s">
        <v>310</v>
      </c>
      <c r="BT3" s="616" t="s">
        <v>311</v>
      </c>
      <c r="BU3" s="617" t="s">
        <v>1428</v>
      </c>
      <c r="CA3" s="372" t="s">
        <v>809</v>
      </c>
      <c r="CH3" s="639" t="s">
        <v>816</v>
      </c>
      <c r="CI3" s="639"/>
      <c r="CJ3" s="639"/>
      <c r="CK3" s="639"/>
      <c r="CL3" s="639"/>
      <c r="CM3" s="639"/>
      <c r="CN3" s="639"/>
      <c r="CO3" s="639"/>
      <c r="CP3" s="639"/>
      <c r="CQ3" s="639"/>
      <c r="CR3" s="639"/>
      <c r="CS3" s="646" t="s">
        <v>262</v>
      </c>
      <c r="CT3" s="646"/>
      <c r="CU3" s="646"/>
      <c r="CV3" s="646"/>
      <c r="CW3" s="646"/>
      <c r="CX3" s="646"/>
      <c r="CY3" s="646"/>
      <c r="CZ3" s="646"/>
      <c r="DA3" s="646"/>
      <c r="DB3" s="646"/>
      <c r="DC3" s="646"/>
      <c r="DD3" s="371"/>
      <c r="DE3" s="639" t="s">
        <v>825</v>
      </c>
      <c r="DF3" s="639"/>
      <c r="DG3" s="639"/>
      <c r="DH3" s="639"/>
      <c r="DI3" s="639"/>
      <c r="DJ3" s="639"/>
      <c r="DK3" s="639"/>
      <c r="DL3" s="639"/>
      <c r="DM3" s="639"/>
      <c r="DN3" s="639"/>
      <c r="DO3" s="646" t="s">
        <v>827</v>
      </c>
      <c r="DP3" s="646"/>
      <c r="DQ3" s="646"/>
      <c r="DR3" s="646"/>
      <c r="DS3" s="646"/>
      <c r="DT3" s="646"/>
      <c r="DU3" s="646"/>
      <c r="DV3" s="646"/>
      <c r="DW3" s="646"/>
      <c r="DX3" s="646"/>
      <c r="DY3" s="646"/>
      <c r="DZ3" s="639" t="s">
        <v>826</v>
      </c>
      <c r="EA3" s="639"/>
      <c r="EB3" s="639"/>
      <c r="EC3" s="639"/>
      <c r="ED3" s="639"/>
      <c r="EE3" s="639"/>
      <c r="EF3" s="639"/>
      <c r="EG3" s="639"/>
      <c r="EH3" s="639"/>
      <c r="EI3" s="639"/>
      <c r="EJ3" s="639"/>
      <c r="EK3" s="646" t="s">
        <v>833</v>
      </c>
      <c r="EL3" s="646"/>
      <c r="EM3" s="646"/>
      <c r="EN3" s="646"/>
      <c r="EO3" s="646"/>
      <c r="EP3" s="646"/>
      <c r="EQ3" s="646"/>
      <c r="ER3" s="646"/>
      <c r="ES3" s="646"/>
      <c r="ET3" s="646"/>
      <c r="EU3" s="646"/>
      <c r="EV3" s="645" t="s">
        <v>1026</v>
      </c>
      <c r="EW3" s="645" t="s">
        <v>1022</v>
      </c>
      <c r="EX3" s="645" t="s">
        <v>1023</v>
      </c>
      <c r="EY3" s="645" t="s">
        <v>1027</v>
      </c>
      <c r="EZ3" s="645" t="s">
        <v>1024</v>
      </c>
      <c r="FA3" s="645" t="s">
        <v>1025</v>
      </c>
      <c r="FB3" s="645" t="s">
        <v>33</v>
      </c>
    </row>
    <row r="4" spans="1:163" ht="57.5" customHeight="1" thickBot="1" x14ac:dyDescent="0.35">
      <c r="A4" s="300"/>
      <c r="B4" s="301"/>
      <c r="C4" s="302"/>
      <c r="D4" s="302"/>
      <c r="E4" s="302"/>
      <c r="F4" s="302"/>
      <c r="G4" s="302"/>
      <c r="H4" s="302"/>
      <c r="I4" s="302"/>
      <c r="J4" s="302" t="s">
        <v>105</v>
      </c>
      <c r="K4" s="302" t="s">
        <v>106</v>
      </c>
      <c r="L4" s="302" t="s">
        <v>107</v>
      </c>
      <c r="M4" s="302" t="s">
        <v>108</v>
      </c>
      <c r="N4" s="302" t="s">
        <v>109</v>
      </c>
      <c r="O4" s="302" t="s">
        <v>120</v>
      </c>
      <c r="P4" s="302" t="s">
        <v>111</v>
      </c>
      <c r="Q4" s="302" t="s">
        <v>112</v>
      </c>
      <c r="R4" s="302" t="s">
        <v>113</v>
      </c>
      <c r="S4" s="302" t="s">
        <v>110</v>
      </c>
      <c r="T4" s="302" t="s">
        <v>935</v>
      </c>
      <c r="U4" s="302" t="s">
        <v>936</v>
      </c>
      <c r="V4" s="302" t="s">
        <v>937</v>
      </c>
      <c r="W4" s="302" t="s">
        <v>938</v>
      </c>
      <c r="X4" s="302" t="s">
        <v>939</v>
      </c>
      <c r="Y4" s="302" t="s">
        <v>120</v>
      </c>
      <c r="Z4" s="302" t="s">
        <v>111</v>
      </c>
      <c r="AA4" s="302" t="s">
        <v>112</v>
      </c>
      <c r="AB4" s="302" t="s">
        <v>113</v>
      </c>
      <c r="AC4" s="302" t="s">
        <v>110</v>
      </c>
      <c r="AD4" s="302" t="s">
        <v>256</v>
      </c>
      <c r="AE4" s="302" t="s">
        <v>257</v>
      </c>
      <c r="AF4" s="302"/>
      <c r="AG4" s="302" t="s">
        <v>38</v>
      </c>
      <c r="AH4" s="302" t="s">
        <v>260</v>
      </c>
      <c r="AI4" s="302" t="s">
        <v>261</v>
      </c>
      <c r="AJ4" s="302" t="s">
        <v>260</v>
      </c>
      <c r="AK4" s="302" t="s">
        <v>715</v>
      </c>
      <c r="AL4" s="302" t="s">
        <v>716</v>
      </c>
      <c r="AM4" s="302" t="s">
        <v>262</v>
      </c>
      <c r="AN4" s="302" t="s">
        <v>260</v>
      </c>
      <c r="AO4" s="607"/>
      <c r="AP4" s="607"/>
      <c r="AQ4" s="608"/>
      <c r="AR4" s="610"/>
      <c r="AS4" s="610"/>
      <c r="AT4" s="610"/>
      <c r="AU4" s="302" t="s">
        <v>164</v>
      </c>
      <c r="AV4" s="302" t="s">
        <v>36</v>
      </c>
      <c r="AW4" s="302" t="s">
        <v>5</v>
      </c>
      <c r="AX4" s="302" t="s">
        <v>3</v>
      </c>
      <c r="AY4" s="302" t="s">
        <v>165</v>
      </c>
      <c r="AZ4" s="302" t="s">
        <v>166</v>
      </c>
      <c r="BA4" s="302" t="s">
        <v>1578</v>
      </c>
      <c r="BB4" s="302"/>
      <c r="BC4" s="302"/>
      <c r="BD4" s="302"/>
      <c r="BE4" s="610"/>
      <c r="BF4" s="610"/>
      <c r="BG4" s="345" t="s">
        <v>37</v>
      </c>
      <c r="BH4" s="606"/>
      <c r="BI4" s="606"/>
      <c r="BJ4" s="606"/>
      <c r="BK4" s="606"/>
      <c r="BL4" s="606"/>
      <c r="BM4" s="606"/>
      <c r="BN4" s="606"/>
      <c r="BO4" s="606"/>
      <c r="BP4" s="606"/>
      <c r="BQ4" s="606"/>
      <c r="BR4" s="606"/>
      <c r="BS4" s="606"/>
      <c r="BT4" s="592"/>
      <c r="BU4" s="618"/>
      <c r="BY4" s="373"/>
      <c r="BZ4" s="376" t="str">
        <f>'AR-Hierarchy '!K4</f>
        <v>Basic Design</v>
      </c>
      <c r="CA4" s="376" t="str">
        <f>'AR-Hierarchy '!K5</f>
        <v>Standard Design</v>
      </c>
      <c r="CB4" s="376" t="str">
        <f>'AR-Hierarchy '!K6</f>
        <v xml:space="preserve">Superior Design </v>
      </c>
      <c r="CC4" s="376" t="str">
        <f>'AR-Hierarchy '!K7</f>
        <v>None</v>
      </c>
      <c r="CD4" s="376" t="str">
        <f>BZ4</f>
        <v>Basic Design</v>
      </c>
      <c r="CE4" s="376" t="str">
        <f>CA4</f>
        <v>Standard Design</v>
      </c>
      <c r="CF4" s="376" t="str">
        <f>CB4</f>
        <v xml:space="preserve">Superior Design </v>
      </c>
      <c r="CG4" s="373" t="s">
        <v>117</v>
      </c>
      <c r="CH4" s="374" t="str">
        <f>BY5</f>
        <v>Substructure</v>
      </c>
      <c r="CI4" s="371" t="str">
        <f>BY6</f>
        <v>Structure</v>
      </c>
      <c r="CJ4" s="371" t="str">
        <f>BY7</f>
        <v>Roofing</v>
      </c>
      <c r="CK4" s="374" t="str">
        <f>BY8</f>
        <v>Exterior Wall Cladding</v>
      </c>
      <c r="CL4" s="371" t="str">
        <f>BY9</f>
        <v>Fitouts</v>
      </c>
      <c r="CM4" s="371" t="str">
        <f>BY10</f>
        <v>Floor Covering</v>
      </c>
      <c r="CN4" s="374" t="str">
        <f>BY11</f>
        <v>Service Mechanical</v>
      </c>
      <c r="CO4" s="374" t="str">
        <f>BY12</f>
        <v>Services Electrical</v>
      </c>
      <c r="CP4" s="374" t="str">
        <f>BY13</f>
        <v>Services Sanitation</v>
      </c>
      <c r="CQ4" s="374" t="str">
        <f>BY14</f>
        <v>Services Water</v>
      </c>
      <c r="CR4" s="374" t="s">
        <v>823</v>
      </c>
      <c r="CS4" s="376" t="str">
        <f>CH4</f>
        <v>Substructure</v>
      </c>
      <c r="CT4" s="376" t="str">
        <f t="shared" ref="CT4:DB4" si="0">CI4</f>
        <v>Structure</v>
      </c>
      <c r="CU4" s="376" t="str">
        <f t="shared" si="0"/>
        <v>Roofing</v>
      </c>
      <c r="CV4" s="376" t="str">
        <f t="shared" si="0"/>
        <v>Exterior Wall Cladding</v>
      </c>
      <c r="CW4" s="376" t="str">
        <f t="shared" si="0"/>
        <v>Fitouts</v>
      </c>
      <c r="CX4" s="376" t="str">
        <f t="shared" si="0"/>
        <v>Floor Covering</v>
      </c>
      <c r="CY4" s="376" t="str">
        <f t="shared" si="0"/>
        <v>Service Mechanical</v>
      </c>
      <c r="CZ4" s="376" t="str">
        <f t="shared" si="0"/>
        <v>Services Electrical</v>
      </c>
      <c r="DA4" s="376" t="str">
        <f t="shared" si="0"/>
        <v>Services Sanitation</v>
      </c>
      <c r="DB4" s="376" t="str">
        <f t="shared" si="0"/>
        <v>Services Water</v>
      </c>
      <c r="DC4" s="376" t="s">
        <v>824</v>
      </c>
      <c r="DD4" s="374" t="s">
        <v>1028</v>
      </c>
      <c r="DE4" s="374" t="str">
        <f>CS4</f>
        <v>Substructure</v>
      </c>
      <c r="DF4" s="374" t="str">
        <f t="shared" ref="DF4:DN4" si="1">CT4</f>
        <v>Structure</v>
      </c>
      <c r="DG4" s="374" t="str">
        <f t="shared" si="1"/>
        <v>Roofing</v>
      </c>
      <c r="DH4" s="374" t="str">
        <f t="shared" si="1"/>
        <v>Exterior Wall Cladding</v>
      </c>
      <c r="DI4" s="374" t="str">
        <f t="shared" si="1"/>
        <v>Fitouts</v>
      </c>
      <c r="DJ4" s="374" t="str">
        <f t="shared" si="1"/>
        <v>Floor Covering</v>
      </c>
      <c r="DK4" s="374" t="str">
        <f t="shared" si="1"/>
        <v>Service Mechanical</v>
      </c>
      <c r="DL4" s="374" t="str">
        <f t="shared" si="1"/>
        <v>Services Electrical</v>
      </c>
      <c r="DM4" s="374" t="str">
        <f t="shared" si="1"/>
        <v>Services Sanitation</v>
      </c>
      <c r="DN4" s="374" t="str">
        <f t="shared" si="1"/>
        <v>Services Water</v>
      </c>
      <c r="DO4" s="376" t="str">
        <f>DE4</f>
        <v>Substructure</v>
      </c>
      <c r="DP4" s="376" t="str">
        <f t="shared" ref="DP4:DX4" si="2">DF4</f>
        <v>Structure</v>
      </c>
      <c r="DQ4" s="376" t="str">
        <f t="shared" si="2"/>
        <v>Roofing</v>
      </c>
      <c r="DR4" s="376" t="str">
        <f t="shared" si="2"/>
        <v>Exterior Wall Cladding</v>
      </c>
      <c r="DS4" s="376" t="str">
        <f t="shared" si="2"/>
        <v>Fitouts</v>
      </c>
      <c r="DT4" s="376" t="str">
        <f t="shared" si="2"/>
        <v>Floor Covering</v>
      </c>
      <c r="DU4" s="376" t="str">
        <f t="shared" si="2"/>
        <v>Service Mechanical</v>
      </c>
      <c r="DV4" s="376" t="str">
        <f t="shared" si="2"/>
        <v>Services Electrical</v>
      </c>
      <c r="DW4" s="376" t="str">
        <f t="shared" si="2"/>
        <v>Services Sanitation</v>
      </c>
      <c r="DX4" s="376" t="str">
        <f t="shared" si="2"/>
        <v>Services Water</v>
      </c>
      <c r="DY4" s="376" t="s">
        <v>1021</v>
      </c>
      <c r="DZ4" s="374" t="str">
        <f>DO4</f>
        <v>Substructure</v>
      </c>
      <c r="EA4" s="374" t="str">
        <f t="shared" ref="EA4:EI4" si="3">DP4</f>
        <v>Structure</v>
      </c>
      <c r="EB4" s="374" t="str">
        <f t="shared" si="3"/>
        <v>Roofing</v>
      </c>
      <c r="EC4" s="374" t="str">
        <f t="shared" si="3"/>
        <v>Exterior Wall Cladding</v>
      </c>
      <c r="ED4" s="374" t="str">
        <f t="shared" si="3"/>
        <v>Fitouts</v>
      </c>
      <c r="EE4" s="374" t="str">
        <f t="shared" si="3"/>
        <v>Floor Covering</v>
      </c>
      <c r="EF4" s="374" t="str">
        <f t="shared" si="3"/>
        <v>Service Mechanical</v>
      </c>
      <c r="EG4" s="374" t="str">
        <f t="shared" si="3"/>
        <v>Services Electrical</v>
      </c>
      <c r="EH4" s="374" t="str">
        <f t="shared" si="3"/>
        <v>Services Sanitation</v>
      </c>
      <c r="EI4" s="374" t="str">
        <f t="shared" si="3"/>
        <v>Services Water</v>
      </c>
      <c r="EJ4" s="374" t="s">
        <v>1021</v>
      </c>
      <c r="EK4" s="376" t="str">
        <f>DZ4</f>
        <v>Substructure</v>
      </c>
      <c r="EL4" s="376" t="str">
        <f t="shared" ref="EL4:ET4" si="4">EA4</f>
        <v>Structure</v>
      </c>
      <c r="EM4" s="376" t="str">
        <f t="shared" si="4"/>
        <v>Roofing</v>
      </c>
      <c r="EN4" s="376" t="str">
        <f t="shared" si="4"/>
        <v>Exterior Wall Cladding</v>
      </c>
      <c r="EO4" s="376" t="str">
        <f t="shared" si="4"/>
        <v>Fitouts</v>
      </c>
      <c r="EP4" s="376" t="str">
        <f t="shared" si="4"/>
        <v>Floor Covering</v>
      </c>
      <c r="EQ4" s="376" t="str">
        <f t="shared" si="4"/>
        <v>Service Mechanical</v>
      </c>
      <c r="ER4" s="376" t="str">
        <f t="shared" si="4"/>
        <v>Services Electrical</v>
      </c>
      <c r="ES4" s="376" t="str">
        <f t="shared" si="4"/>
        <v>Services Sanitation</v>
      </c>
      <c r="ET4" s="376" t="str">
        <f t="shared" si="4"/>
        <v>Services Water</v>
      </c>
      <c r="EU4" s="376" t="s">
        <v>52</v>
      </c>
      <c r="EV4" s="645"/>
      <c r="EW4" s="645"/>
      <c r="EX4" s="645"/>
      <c r="EY4" s="645"/>
      <c r="EZ4" s="645"/>
      <c r="FA4" s="645"/>
      <c r="FB4" s="645"/>
      <c r="FC4" s="589"/>
      <c r="FD4" s="589"/>
      <c r="FE4" s="589"/>
      <c r="FF4" s="589"/>
      <c r="FG4" s="589"/>
    </row>
    <row r="5" spans="1:163" ht="35" customHeight="1" thickTop="1" x14ac:dyDescent="0.3">
      <c r="A5" s="312" t="s">
        <v>1773</v>
      </c>
      <c r="B5" s="313" t="s">
        <v>1111</v>
      </c>
      <c r="C5" s="313" t="s">
        <v>67</v>
      </c>
      <c r="D5" s="314" t="s">
        <v>97</v>
      </c>
      <c r="E5" s="313" t="s">
        <v>8</v>
      </c>
      <c r="F5" s="313" t="s">
        <v>274</v>
      </c>
      <c r="G5" s="313" t="s">
        <v>722</v>
      </c>
      <c r="H5" s="313" t="s">
        <v>1112</v>
      </c>
      <c r="I5" s="313" t="s">
        <v>1113</v>
      </c>
      <c r="J5" s="313" t="s">
        <v>1045</v>
      </c>
      <c r="K5" s="313" t="s">
        <v>1046</v>
      </c>
      <c r="L5" s="313" t="s">
        <v>1055</v>
      </c>
      <c r="M5" s="313" t="s">
        <v>1059</v>
      </c>
      <c r="N5" s="313" t="s">
        <v>1069</v>
      </c>
      <c r="O5" s="313" t="s">
        <v>1371</v>
      </c>
      <c r="P5" s="313" t="s">
        <v>1078</v>
      </c>
      <c r="Q5" s="313" t="s">
        <v>1082</v>
      </c>
      <c r="R5" s="313" t="s">
        <v>1086</v>
      </c>
      <c r="S5" s="314" t="s">
        <v>1088</v>
      </c>
      <c r="T5" s="314" t="s">
        <v>104</v>
      </c>
      <c r="U5" s="314" t="s">
        <v>104</v>
      </c>
      <c r="V5" s="314" t="s">
        <v>104</v>
      </c>
      <c r="W5" s="314" t="s">
        <v>104</v>
      </c>
      <c r="X5" s="314" t="s">
        <v>104</v>
      </c>
      <c r="Y5" s="314" t="s">
        <v>104</v>
      </c>
      <c r="Z5" s="314" t="s">
        <v>104</v>
      </c>
      <c r="AA5" s="314" t="s">
        <v>104</v>
      </c>
      <c r="AB5" s="314" t="s">
        <v>104</v>
      </c>
      <c r="AC5" s="314" t="s">
        <v>104</v>
      </c>
      <c r="AD5" s="313" t="s">
        <v>1771</v>
      </c>
      <c r="AE5" s="313">
        <v>360</v>
      </c>
      <c r="AF5" s="313">
        <f>'GRC and TUL Assumptions'!G6</f>
        <v>60</v>
      </c>
      <c r="AG5" s="314">
        <v>2016</v>
      </c>
      <c r="AH5" s="313" t="s">
        <v>800</v>
      </c>
      <c r="AI5" s="313">
        <f>AG5</f>
        <v>2016</v>
      </c>
      <c r="AJ5" s="313" t="str">
        <f t="shared" ref="AJ5:AJ9" si="5">AH5</f>
        <v>Estimated</v>
      </c>
      <c r="AK5" s="313"/>
      <c r="AL5" s="313"/>
      <c r="AM5" s="315">
        <f t="shared" ref="AM5:AM9" si="6">DC5+EW5</f>
        <v>746515.28407263895</v>
      </c>
      <c r="AN5" s="313" t="s">
        <v>800</v>
      </c>
      <c r="AO5" s="509">
        <f t="shared" ref="AO5:AO9" si="7">EJ5+FA5</f>
        <v>116124.59974463269</v>
      </c>
      <c r="AP5" s="509">
        <f t="shared" ref="AP5:AP9" si="8">AM5-AO5</f>
        <v>630390.68432800623</v>
      </c>
      <c r="AQ5" s="509">
        <f t="shared" ref="AQ5:AQ9" si="9">EU5+FB5</f>
        <v>19354.099957438786</v>
      </c>
      <c r="AR5" s="509">
        <f t="shared" ref="AR5:AR9" si="10">AP5-AQ5</f>
        <v>611036.58437056746</v>
      </c>
      <c r="AS5" s="510">
        <f>HLOOKUP($C$1,'Inflation Adjustments'!$BI$3:$BT$4,2)*CR5</f>
        <v>1209145.21875</v>
      </c>
      <c r="AT5" s="511">
        <f>IF(BU5="In Service",'Maintenace Cost Assumptions'!$B$3*AS5,0)</f>
        <v>6045.7260937500005</v>
      </c>
      <c r="AU5" s="314">
        <v>4</v>
      </c>
      <c r="AV5" s="313">
        <v>4</v>
      </c>
      <c r="AW5" s="313">
        <v>4</v>
      </c>
      <c r="AX5" s="313">
        <v>4</v>
      </c>
      <c r="AY5" s="313">
        <v>3</v>
      </c>
      <c r="AZ5" s="313">
        <v>3</v>
      </c>
      <c r="BA5" s="318">
        <v>3</v>
      </c>
      <c r="BB5" s="314"/>
      <c r="BC5" s="314"/>
      <c r="BD5" s="314"/>
      <c r="BE5" s="318">
        <v>4</v>
      </c>
      <c r="BF5" s="314"/>
      <c r="BG5" s="319">
        <f>(AU5*'Condition rating weights'!H$8+AV5*'Condition rating weights'!I$8+AW5*'Condition rating weights'!J$8+AX5*'Condition rating weights'!K$8+AY5*'Condition rating weights'!L$8+AZ5*'Condition rating weights'!M$8+BA5*'Condition rating weights'!N$8+BB5*'Condition rating weights'!O$8+BC5*'Condition rating weights'!P$8+BD5*'Condition rating weights'!Q$8+BE5*'Condition rating weights'!R$8+BF5*'Condition rating weights'!S$8)/100</f>
        <v>0.76</v>
      </c>
      <c r="BH5" s="320">
        <v>1</v>
      </c>
      <c r="BI5" s="320">
        <v>211</v>
      </c>
      <c r="BJ5" s="320" t="s">
        <v>12</v>
      </c>
      <c r="BK5" s="320" t="s">
        <v>959</v>
      </c>
      <c r="BL5" s="320" t="s">
        <v>960</v>
      </c>
      <c r="BM5" s="320" t="s">
        <v>961</v>
      </c>
      <c r="BN5" s="320" t="s">
        <v>117</v>
      </c>
      <c r="BO5" s="320" t="s">
        <v>962</v>
      </c>
      <c r="BP5" s="320" t="s">
        <v>962</v>
      </c>
      <c r="BQ5" s="320" t="s">
        <v>963</v>
      </c>
      <c r="BR5" s="320" t="s">
        <v>964</v>
      </c>
      <c r="BS5" s="320" t="s">
        <v>964</v>
      </c>
      <c r="BT5" s="321" t="s">
        <v>965</v>
      </c>
      <c r="BU5" s="322" t="s">
        <v>1430</v>
      </c>
      <c r="BV5" s="346"/>
      <c r="BY5" s="376" t="str">
        <f>'GRC and TUL Assumptions'!A5</f>
        <v>Substructure</v>
      </c>
      <c r="BZ5" s="373">
        <f>'GRC and TUL Assumptions'!C5</f>
        <v>150</v>
      </c>
      <c r="CA5" s="373">
        <f>'GRC and TUL Assumptions'!D5</f>
        <v>200</v>
      </c>
      <c r="CB5" s="373">
        <f>'GRC and TUL Assumptions'!E5</f>
        <v>300</v>
      </c>
      <c r="CC5" s="373">
        <v>0</v>
      </c>
      <c r="CD5" s="373">
        <f>'GRC and TUL Assumptions'!F5</f>
        <v>40</v>
      </c>
      <c r="CE5" s="373">
        <f>'GRC and TUL Assumptions'!G5</f>
        <v>60</v>
      </c>
      <c r="CF5" s="373">
        <f>'GRC and TUL Assumptions'!H5</f>
        <v>60</v>
      </c>
      <c r="CG5" s="373">
        <f>CD5</f>
        <v>40</v>
      </c>
      <c r="CH5" s="378">
        <f t="shared" ref="CH5:CH18" si="11">(HLOOKUP(T5,$BZ$4:$CC$14,2,TRUE))*$AE5</f>
        <v>72000</v>
      </c>
      <c r="CI5" s="378">
        <f t="shared" ref="CI5:CI18" si="12">(HLOOKUP(U5,$BZ$4:$CD$14,3,TRUE))*$AE5</f>
        <v>288000</v>
      </c>
      <c r="CJ5" s="378">
        <f t="shared" ref="CJ5:CJ9" si="13">(HLOOKUP(V5,$BZ$4:$CD$14,4,TRUE))*$AE5/BH5</f>
        <v>54000</v>
      </c>
      <c r="CK5" s="378">
        <f t="shared" ref="CK5:CK18" si="14">(HLOOKUP(W5,$BZ$4:$CD$14,5,FALSE))*$AE5</f>
        <v>82800</v>
      </c>
      <c r="CL5" s="378">
        <f t="shared" ref="CL5:CL18" si="15">(HLOOKUP(X5,$BZ$4:$CD$14,6,FALSE))*$AE5</f>
        <v>126000</v>
      </c>
      <c r="CM5" s="378">
        <f t="shared" ref="CM5:CM18" si="16">(HLOOKUP(Y5,$BZ$4:$CD$14,7,FALSE))*$AE5</f>
        <v>54000</v>
      </c>
      <c r="CN5" s="378">
        <f t="shared" ref="CN5:CN18" si="17">(HLOOKUP(Z5,$BZ$4:$CD$14,8,FALSE))*$AE5</f>
        <v>36000</v>
      </c>
      <c r="CO5" s="378">
        <f t="shared" ref="CO5:CO18" si="18">(HLOOKUP(AA5,$BZ$4:$CD$14,9,FALSE))*$AE5</f>
        <v>36000</v>
      </c>
      <c r="CP5" s="378">
        <f t="shared" ref="CP5:CP18" si="19">(HLOOKUP(AB5,$BZ$4:$CD$14,10,FALSE))*$AE5</f>
        <v>46800</v>
      </c>
      <c r="CQ5" s="378">
        <f t="shared" ref="CQ5:CQ18" si="20">(HLOOKUP(AC5,$BZ$4:$CD$14,11,FALSE))*$AE5</f>
        <v>14400</v>
      </c>
      <c r="CR5" s="354">
        <f>SUM(CH5:CQ5)</f>
        <v>810000</v>
      </c>
      <c r="CS5" s="379">
        <f>(HLOOKUP($AI5,'Inflation Adjustments'!$M$3:$BT$4,2,TRUE))*CH5</f>
        <v>66356.914139790126</v>
      </c>
      <c r="CT5" s="379">
        <f>(HLOOKUP($AI5,'Inflation Adjustments'!$M$3:$BT$4,2,TRUE))*CI5</f>
        <v>265427.6565591605</v>
      </c>
      <c r="CU5" s="379">
        <f>(HLOOKUP($AI5,'Inflation Adjustments'!$M$3:$BT$4,2,TRUE))*CJ5</f>
        <v>49767.685604842591</v>
      </c>
      <c r="CV5" s="379">
        <f>(HLOOKUP($AI5,'Inflation Adjustments'!$M$3:$BT$4,2,TRUE))*CK5</f>
        <v>76310.451260758637</v>
      </c>
      <c r="CW5" s="379">
        <f>(HLOOKUP($AI5,'Inflation Adjustments'!$M$3:$BT$4,2,TRUE))*CL5</f>
        <v>116124.59974463272</v>
      </c>
      <c r="CX5" s="379">
        <f>(HLOOKUP($AI5,'Inflation Adjustments'!$M$3:$BT$4,2,TRUE))*CM5</f>
        <v>49767.685604842591</v>
      </c>
      <c r="CY5" s="379">
        <f>(HLOOKUP($AI5,'Inflation Adjustments'!$M$3:$BT$4,2,TRUE))*CN5</f>
        <v>33178.457069895063</v>
      </c>
      <c r="CZ5" s="379">
        <f>(HLOOKUP($AI5,'Inflation Adjustments'!$M$3:$BT$4,2,TRUE))*CO5</f>
        <v>33178.457069895063</v>
      </c>
      <c r="DA5" s="379">
        <f>(HLOOKUP($AI5,'Inflation Adjustments'!$M$3:$BT$4,2,TRUE))*CP5</f>
        <v>43131.994190863581</v>
      </c>
      <c r="DB5" s="379">
        <f>(HLOOKUP($AI5,'Inflation Adjustments'!$M$3:$BT$4,2,TRUE))*CQ5</f>
        <v>13271.382827958025</v>
      </c>
      <c r="DC5" s="379">
        <f>SUM(CS5:DB5)</f>
        <v>746515.28407263895</v>
      </c>
      <c r="DD5" s="354">
        <f t="shared" ref="DD5:DD18" si="21">IF(($C$1-AI5-1)&lt;0,0,$C$1-AI5-1)</f>
        <v>6</v>
      </c>
      <c r="DE5" s="378">
        <f t="shared" ref="DE5:DE18" si="22">(HLOOKUP(T5,$CD$4:$CG$14,2,FALSE))</f>
        <v>60</v>
      </c>
      <c r="DF5" s="378">
        <f t="shared" ref="DF5:DF18" si="23">(HLOOKUP(U5,$CD$4:$CG$14,3,FALSE))</f>
        <v>60</v>
      </c>
      <c r="DG5" s="378">
        <f t="shared" ref="DG5:DG18" si="24">(HLOOKUP(V5,$CD$4:$CG$14,4,FALSE))</f>
        <v>20</v>
      </c>
      <c r="DH5" s="378">
        <f t="shared" ref="DH5:DH18" si="25">(HLOOKUP(W5,$CD$4:$CG$14,5,FALSE))</f>
        <v>30</v>
      </c>
      <c r="DI5" s="378">
        <f t="shared" ref="DI5:DI18" si="26">(HLOOKUP(X5,$CD$4:$CG$14,6,FALSE))</f>
        <v>60</v>
      </c>
      <c r="DJ5" s="378">
        <f t="shared" ref="DJ5:DJ18" si="27">(HLOOKUP(Y5,$CD$4:$CG$14,7,FALSE))</f>
        <v>30</v>
      </c>
      <c r="DK5" s="378">
        <f t="shared" ref="DK5:DK18" si="28">(HLOOKUP(Z5,$CD$4:$CG$14,8,FALSE))</f>
        <v>20</v>
      </c>
      <c r="DL5" s="378">
        <f t="shared" ref="DL5:DL18" si="29">(HLOOKUP(AA5,$CD$4:$CG$14,8,FALSE))</f>
        <v>20</v>
      </c>
      <c r="DM5" s="378">
        <f t="shared" ref="DM5:DM18" si="30">(HLOOKUP(AB5,$CD$4:$CG$14,9))</f>
        <v>30</v>
      </c>
      <c r="DN5" s="378">
        <f t="shared" ref="DN5:DN18" si="31">(HLOOKUP(AC5,$CD$4:$CG$14,10))</f>
        <v>30</v>
      </c>
      <c r="DO5" s="380">
        <f t="shared" ref="DO5:DO18" si="32">CS5/DE5</f>
        <v>1105.948568996502</v>
      </c>
      <c r="DP5" s="380">
        <f t="shared" ref="DP5:DX16" si="33">CT5/DF5</f>
        <v>4423.794275986008</v>
      </c>
      <c r="DQ5" s="380">
        <f t="shared" si="33"/>
        <v>2488.3842802421295</v>
      </c>
      <c r="DR5" s="380">
        <f t="shared" si="33"/>
        <v>2543.6817086919546</v>
      </c>
      <c r="DS5" s="380">
        <f t="shared" si="33"/>
        <v>1935.4099957438787</v>
      </c>
      <c r="DT5" s="380">
        <f t="shared" si="33"/>
        <v>1658.9228534947531</v>
      </c>
      <c r="DU5" s="380">
        <f t="shared" si="33"/>
        <v>1658.9228534947531</v>
      </c>
      <c r="DV5" s="380">
        <f t="shared" si="33"/>
        <v>1658.9228534947531</v>
      </c>
      <c r="DW5" s="380">
        <f t="shared" si="33"/>
        <v>1437.7331396954528</v>
      </c>
      <c r="DX5" s="380">
        <f t="shared" si="33"/>
        <v>442.37942759860084</v>
      </c>
      <c r="DY5" s="380">
        <f>SUM(DO5:DX5)</f>
        <v>19354.099957438786</v>
      </c>
      <c r="DZ5" s="378">
        <f t="shared" ref="DZ5:DZ18" si="34">IF(DO5*$DD5&gt;CS5,CS5,DO5*$DD5)</f>
        <v>6635.6914139790115</v>
      </c>
      <c r="EA5" s="378">
        <f t="shared" ref="EA5:EI16" si="35">IF(DP5*$DD5&gt;CT5,CT5,DP5*$DD5)</f>
        <v>26542.765655916046</v>
      </c>
      <c r="EB5" s="378">
        <f t="shared" si="35"/>
        <v>14930.305681452777</v>
      </c>
      <c r="EC5" s="378">
        <f t="shared" si="35"/>
        <v>15262.090252151727</v>
      </c>
      <c r="ED5" s="378">
        <f t="shared" si="35"/>
        <v>11612.459974463272</v>
      </c>
      <c r="EE5" s="378">
        <f t="shared" si="35"/>
        <v>9953.5371209685181</v>
      </c>
      <c r="EF5" s="378">
        <f t="shared" si="35"/>
        <v>9953.5371209685181</v>
      </c>
      <c r="EG5" s="378">
        <f t="shared" si="35"/>
        <v>9953.5371209685181</v>
      </c>
      <c r="EH5" s="378">
        <f t="shared" si="35"/>
        <v>8626.3988381727177</v>
      </c>
      <c r="EI5" s="378">
        <f t="shared" si="35"/>
        <v>2654.276565591605</v>
      </c>
      <c r="EJ5" s="354">
        <f>SUM(DZ5:EI5)</f>
        <v>116124.59974463269</v>
      </c>
      <c r="EK5" s="380">
        <f t="shared" ref="EK5:EK18" si="36">IF(DO5&lt;(CS5-DZ5),DO5,(CS5-DZ5))</f>
        <v>1105.948568996502</v>
      </c>
      <c r="EL5" s="380">
        <f t="shared" ref="EL5:ET16" si="37">IF(DP5&lt;(CT5-EA5),DP5,(CT5-EA5))</f>
        <v>4423.794275986008</v>
      </c>
      <c r="EM5" s="380">
        <f t="shared" si="37"/>
        <v>2488.3842802421295</v>
      </c>
      <c r="EN5" s="380">
        <f t="shared" si="37"/>
        <v>2543.6817086919546</v>
      </c>
      <c r="EO5" s="380">
        <f t="shared" si="37"/>
        <v>1935.4099957438787</v>
      </c>
      <c r="EP5" s="380">
        <f t="shared" si="37"/>
        <v>1658.9228534947531</v>
      </c>
      <c r="EQ5" s="380">
        <f t="shared" si="37"/>
        <v>1658.9228534947531</v>
      </c>
      <c r="ER5" s="380">
        <f t="shared" si="37"/>
        <v>1658.9228534947531</v>
      </c>
      <c r="ES5" s="380">
        <f t="shared" si="37"/>
        <v>1437.7331396954528</v>
      </c>
      <c r="ET5" s="380">
        <f t="shared" si="37"/>
        <v>442.37942759860084</v>
      </c>
      <c r="EU5" s="379">
        <f>SUM(EK5:ET5)</f>
        <v>19354.099957438786</v>
      </c>
      <c r="EV5" s="381"/>
      <c r="EW5" s="354"/>
      <c r="EX5" s="381"/>
      <c r="EY5" s="381"/>
      <c r="EZ5" s="378"/>
      <c r="FA5" s="378"/>
      <c r="FB5" s="378"/>
      <c r="FC5" s="638" t="s">
        <v>1590</v>
      </c>
      <c r="FD5" s="638"/>
      <c r="FE5" s="638"/>
      <c r="FF5" s="638"/>
      <c r="FG5" s="638"/>
    </row>
    <row r="6" spans="1:163" ht="35" customHeight="1" x14ac:dyDescent="0.3">
      <c r="A6" s="330" t="s">
        <v>1774</v>
      </c>
      <c r="B6" s="318" t="s">
        <v>95</v>
      </c>
      <c r="C6" s="318" t="s">
        <v>67</v>
      </c>
      <c r="D6" s="318" t="s">
        <v>95</v>
      </c>
      <c r="E6" s="318" t="s">
        <v>8</v>
      </c>
      <c r="F6" s="318" t="s">
        <v>945</v>
      </c>
      <c r="G6" s="318" t="s">
        <v>722</v>
      </c>
      <c r="H6" s="331" t="s">
        <v>1114</v>
      </c>
      <c r="I6" s="331" t="s">
        <v>1115</v>
      </c>
      <c r="J6" s="318" t="s">
        <v>1045</v>
      </c>
      <c r="K6" s="318" t="s">
        <v>1046</v>
      </c>
      <c r="L6" s="318" t="s">
        <v>1055</v>
      </c>
      <c r="M6" s="318" t="s">
        <v>1059</v>
      </c>
      <c r="N6" s="318" t="s">
        <v>1069</v>
      </c>
      <c r="O6" s="318" t="s">
        <v>1371</v>
      </c>
      <c r="P6" s="318" t="s">
        <v>1078</v>
      </c>
      <c r="Q6" s="318" t="s">
        <v>1082</v>
      </c>
      <c r="R6" s="318" t="s">
        <v>1086</v>
      </c>
      <c r="S6" s="318" t="s">
        <v>1088</v>
      </c>
      <c r="T6" s="318" t="s">
        <v>102</v>
      </c>
      <c r="U6" s="318" t="s">
        <v>102</v>
      </c>
      <c r="V6" s="318" t="s">
        <v>102</v>
      </c>
      <c r="W6" s="318" t="s">
        <v>102</v>
      </c>
      <c r="X6" s="318" t="s">
        <v>102</v>
      </c>
      <c r="Y6" s="318" t="s">
        <v>102</v>
      </c>
      <c r="Z6" s="318" t="s">
        <v>102</v>
      </c>
      <c r="AA6" s="318" t="s">
        <v>102</v>
      </c>
      <c r="AB6" s="318" t="s">
        <v>102</v>
      </c>
      <c r="AC6" s="318" t="s">
        <v>102</v>
      </c>
      <c r="AD6" s="318" t="s">
        <v>1771</v>
      </c>
      <c r="AE6" s="318">
        <v>830</v>
      </c>
      <c r="AF6" s="318">
        <v>60</v>
      </c>
      <c r="AG6" s="318">
        <v>1995</v>
      </c>
      <c r="AH6" s="318" t="s">
        <v>800</v>
      </c>
      <c r="AI6" s="318">
        <f>AG6</f>
        <v>1995</v>
      </c>
      <c r="AJ6" s="318" t="str">
        <f t="shared" si="5"/>
        <v>Estimated</v>
      </c>
      <c r="AK6" s="318"/>
      <c r="AL6" s="318"/>
      <c r="AM6" s="317">
        <f t="shared" si="6"/>
        <v>476830.51020224992</v>
      </c>
      <c r="AN6" s="318" t="s">
        <v>800</v>
      </c>
      <c r="AO6" s="511">
        <f t="shared" si="7"/>
        <v>382592.04788187286</v>
      </c>
      <c r="AP6" s="511">
        <f t="shared" si="8"/>
        <v>94238.462320377061</v>
      </c>
      <c r="AQ6" s="511">
        <f t="shared" si="9"/>
        <v>7249.1124861828521</v>
      </c>
      <c r="AR6" s="511">
        <f t="shared" si="10"/>
        <v>86989.349834194203</v>
      </c>
      <c r="AS6" s="511">
        <f>HLOOKUP($C$1,'Inflation Adjustments'!$BI$3:$BT$4,2)*CR6</f>
        <v>1833720.9712499997</v>
      </c>
      <c r="AT6" s="511">
        <f>IF(BU6="In Service",'Maintenace Cost Assumptions'!$B$3*AS6,0)</f>
        <v>9168.6048562499982</v>
      </c>
      <c r="AU6" s="318">
        <v>4</v>
      </c>
      <c r="AV6" s="318">
        <v>4</v>
      </c>
      <c r="AW6" s="318">
        <v>4</v>
      </c>
      <c r="AX6" s="318">
        <v>4</v>
      </c>
      <c r="AY6" s="318">
        <v>3</v>
      </c>
      <c r="AZ6" s="318">
        <v>3</v>
      </c>
      <c r="BA6" s="318">
        <v>3</v>
      </c>
      <c r="BB6" s="318"/>
      <c r="BC6" s="318"/>
      <c r="BD6" s="318"/>
      <c r="BE6" s="318">
        <v>4</v>
      </c>
      <c r="BF6" s="318"/>
      <c r="BG6" s="332">
        <f>(AU6*'Condition rating weights'!H$8+AV6*'Condition rating weights'!I$8+AW6*'Condition rating weights'!J$8+AX6*'Condition rating weights'!K$8+AY6*'Condition rating weights'!L$8+AZ6*'Condition rating weights'!M$8+BA6*'Condition rating weights'!N$8+BB6*'Condition rating weights'!O$8+BC6*'Condition rating weights'!P$8+BD6*'Condition rating weights'!Q$8+BE6*'Condition rating weights'!R$8+BF6*'Condition rating weights'!S$8)/100</f>
        <v>0.76</v>
      </c>
      <c r="BH6" s="333">
        <v>2</v>
      </c>
      <c r="BI6" s="333">
        <v>221</v>
      </c>
      <c r="BJ6" s="333" t="s">
        <v>12</v>
      </c>
      <c r="BK6" s="333" t="s">
        <v>959</v>
      </c>
      <c r="BL6" s="333" t="s">
        <v>960</v>
      </c>
      <c r="BM6" s="333" t="s">
        <v>961</v>
      </c>
      <c r="BN6" s="333" t="s">
        <v>117</v>
      </c>
      <c r="BO6" s="333" t="s">
        <v>962</v>
      </c>
      <c r="BP6" s="333" t="s">
        <v>962</v>
      </c>
      <c r="BQ6" s="333" t="s">
        <v>963</v>
      </c>
      <c r="BR6" s="333" t="s">
        <v>964</v>
      </c>
      <c r="BS6" s="333" t="s">
        <v>964</v>
      </c>
      <c r="BT6" s="334" t="s">
        <v>965</v>
      </c>
      <c r="BU6" s="335" t="s">
        <v>1430</v>
      </c>
      <c r="BV6" s="255"/>
      <c r="BY6" s="376" t="str">
        <f>'GRC and TUL Assumptions'!A6</f>
        <v>Structure</v>
      </c>
      <c r="BZ6" s="373">
        <f>'GRC and TUL Assumptions'!C6</f>
        <v>500</v>
      </c>
      <c r="CA6" s="373">
        <f>'GRC and TUL Assumptions'!D6</f>
        <v>800</v>
      </c>
      <c r="CB6" s="373">
        <f>'GRC and TUL Assumptions'!E6</f>
        <v>1500</v>
      </c>
      <c r="CC6" s="373">
        <v>0</v>
      </c>
      <c r="CD6" s="373">
        <f>'GRC and TUL Assumptions'!F6</f>
        <v>40</v>
      </c>
      <c r="CE6" s="373">
        <f>'GRC and TUL Assumptions'!G6</f>
        <v>60</v>
      </c>
      <c r="CF6" s="373">
        <f>'GRC and TUL Assumptions'!H6</f>
        <v>60</v>
      </c>
      <c r="CG6" s="373">
        <f t="shared" ref="CG6:CG14" si="38">CD6</f>
        <v>40</v>
      </c>
      <c r="CH6" s="378">
        <f t="shared" si="11"/>
        <v>124500</v>
      </c>
      <c r="CI6" s="378">
        <f t="shared" si="12"/>
        <v>415000</v>
      </c>
      <c r="CJ6" s="378">
        <f t="shared" si="13"/>
        <v>41500</v>
      </c>
      <c r="CK6" s="378">
        <f t="shared" si="14"/>
        <v>124500</v>
      </c>
      <c r="CL6" s="378">
        <f t="shared" si="15"/>
        <v>207500</v>
      </c>
      <c r="CM6" s="378">
        <f t="shared" si="16"/>
        <v>83000</v>
      </c>
      <c r="CN6" s="378">
        <f t="shared" si="17"/>
        <v>66400</v>
      </c>
      <c r="CO6" s="378">
        <f t="shared" si="18"/>
        <v>66400</v>
      </c>
      <c r="CP6" s="378">
        <f t="shared" si="19"/>
        <v>83000</v>
      </c>
      <c r="CQ6" s="378">
        <f t="shared" si="20"/>
        <v>16600</v>
      </c>
      <c r="CR6" s="354">
        <f t="shared" ref="CR6:CR18" si="39">SUM(CH6:CQ6)</f>
        <v>1228400</v>
      </c>
      <c r="CS6" s="379">
        <f>(HLOOKUP($AI6,'Inflation Adjustments'!$M$3:$BT$4,2,TRUE))*CH6</f>
        <v>48327.41657455235</v>
      </c>
      <c r="CT6" s="379">
        <f>(HLOOKUP($AI6,'Inflation Adjustments'!$M$3:$BT$4,2,TRUE))*CI6</f>
        <v>161091.38858184117</v>
      </c>
      <c r="CU6" s="379">
        <f>(HLOOKUP($AI6,'Inflation Adjustments'!$M$3:$BT$4,2,TRUE))*CJ6</f>
        <v>16109.138858184118</v>
      </c>
      <c r="CV6" s="379">
        <f>(HLOOKUP($AI6,'Inflation Adjustments'!$M$3:$BT$4,2,TRUE))*CK6</f>
        <v>48327.41657455235</v>
      </c>
      <c r="CW6" s="379">
        <f>(HLOOKUP($AI6,'Inflation Adjustments'!$M$3:$BT$4,2,TRUE))*CL6</f>
        <v>80545.694290920583</v>
      </c>
      <c r="CX6" s="379">
        <f>(HLOOKUP($AI6,'Inflation Adjustments'!$M$3:$BT$4,2,TRUE))*CM6</f>
        <v>32218.277716368237</v>
      </c>
      <c r="CY6" s="379">
        <f>(HLOOKUP($AI6,'Inflation Adjustments'!$M$3:$BT$4,2,TRUE))*CN6</f>
        <v>25774.622173094587</v>
      </c>
      <c r="CZ6" s="379">
        <f>(HLOOKUP($AI6,'Inflation Adjustments'!$M$3:$BT$4,2,TRUE))*CO6</f>
        <v>25774.622173094587</v>
      </c>
      <c r="DA6" s="379">
        <f>(HLOOKUP($AI6,'Inflation Adjustments'!$M$3:$BT$4,2,TRUE))*CP6</f>
        <v>32218.277716368237</v>
      </c>
      <c r="DB6" s="379">
        <f>(HLOOKUP($AI6,'Inflation Adjustments'!$M$3:$BT$4,2,TRUE))*CQ6</f>
        <v>6443.6555432736468</v>
      </c>
      <c r="DC6" s="379">
        <f t="shared" ref="DC6:DC18" si="40">SUM(CS6:DB6)</f>
        <v>476830.51020224992</v>
      </c>
      <c r="DD6" s="354">
        <f t="shared" si="21"/>
        <v>27</v>
      </c>
      <c r="DE6" s="378">
        <f t="shared" si="22"/>
        <v>40</v>
      </c>
      <c r="DF6" s="378">
        <f t="shared" si="23"/>
        <v>40</v>
      </c>
      <c r="DG6" s="378">
        <f t="shared" si="24"/>
        <v>10</v>
      </c>
      <c r="DH6" s="378">
        <f t="shared" si="25"/>
        <v>20</v>
      </c>
      <c r="DI6" s="378">
        <f t="shared" si="26"/>
        <v>40</v>
      </c>
      <c r="DJ6" s="378">
        <f t="shared" si="27"/>
        <v>20</v>
      </c>
      <c r="DK6" s="378">
        <f t="shared" si="28"/>
        <v>10</v>
      </c>
      <c r="DL6" s="378">
        <f t="shared" si="29"/>
        <v>10</v>
      </c>
      <c r="DM6" s="378">
        <f t="shared" si="30"/>
        <v>20</v>
      </c>
      <c r="DN6" s="378">
        <f t="shared" si="31"/>
        <v>20</v>
      </c>
      <c r="DO6" s="380">
        <f t="shared" si="32"/>
        <v>1208.1854143638088</v>
      </c>
      <c r="DP6" s="380">
        <f t="shared" si="33"/>
        <v>4027.2847145460291</v>
      </c>
      <c r="DQ6" s="380">
        <f t="shared" si="33"/>
        <v>1610.9138858184119</v>
      </c>
      <c r="DR6" s="380">
        <f t="shared" si="33"/>
        <v>2416.3708287276177</v>
      </c>
      <c r="DS6" s="380">
        <f t="shared" si="33"/>
        <v>2013.6423572730146</v>
      </c>
      <c r="DT6" s="380">
        <f t="shared" si="33"/>
        <v>1610.9138858184119</v>
      </c>
      <c r="DU6" s="380">
        <f t="shared" si="33"/>
        <v>2577.4622173094585</v>
      </c>
      <c r="DV6" s="380">
        <f t="shared" si="33"/>
        <v>2577.4622173094585</v>
      </c>
      <c r="DW6" s="380">
        <f t="shared" si="33"/>
        <v>1610.9138858184119</v>
      </c>
      <c r="DX6" s="380">
        <f t="shared" si="33"/>
        <v>322.18277716368232</v>
      </c>
      <c r="DY6" s="380">
        <f t="shared" ref="DY6:DY18" si="41">SUM(DO6:DX6)</f>
        <v>19975.332184148305</v>
      </c>
      <c r="DZ6" s="378">
        <f t="shared" si="34"/>
        <v>32621.006187822837</v>
      </c>
      <c r="EA6" s="378">
        <f t="shared" si="35"/>
        <v>108736.68729274279</v>
      </c>
      <c r="EB6" s="378">
        <f t="shared" si="35"/>
        <v>16109.138858184118</v>
      </c>
      <c r="EC6" s="378">
        <f t="shared" si="35"/>
        <v>48327.41657455235</v>
      </c>
      <c r="ED6" s="378">
        <f t="shared" si="35"/>
        <v>54368.343646371395</v>
      </c>
      <c r="EE6" s="378">
        <f t="shared" si="35"/>
        <v>32218.277716368237</v>
      </c>
      <c r="EF6" s="378">
        <f t="shared" si="35"/>
        <v>25774.622173094587</v>
      </c>
      <c r="EG6" s="378">
        <f t="shared" si="35"/>
        <v>25774.622173094587</v>
      </c>
      <c r="EH6" s="378">
        <f t="shared" si="35"/>
        <v>32218.277716368237</v>
      </c>
      <c r="EI6" s="378">
        <f t="shared" si="35"/>
        <v>6443.6555432736468</v>
      </c>
      <c r="EJ6" s="354">
        <f t="shared" ref="EJ6:EJ18" si="42">SUM(DZ6:EI6)</f>
        <v>382592.04788187286</v>
      </c>
      <c r="EK6" s="380">
        <f t="shared" si="36"/>
        <v>1208.1854143638088</v>
      </c>
      <c r="EL6" s="380">
        <f t="shared" si="37"/>
        <v>4027.2847145460291</v>
      </c>
      <c r="EM6" s="380">
        <f t="shared" si="37"/>
        <v>0</v>
      </c>
      <c r="EN6" s="380">
        <f t="shared" si="37"/>
        <v>0</v>
      </c>
      <c r="EO6" s="380">
        <f t="shared" si="37"/>
        <v>2013.6423572730146</v>
      </c>
      <c r="EP6" s="380">
        <f t="shared" si="37"/>
        <v>0</v>
      </c>
      <c r="EQ6" s="380">
        <f t="shared" si="37"/>
        <v>0</v>
      </c>
      <c r="ER6" s="380">
        <f t="shared" si="37"/>
        <v>0</v>
      </c>
      <c r="ES6" s="380">
        <f t="shared" si="37"/>
        <v>0</v>
      </c>
      <c r="ET6" s="380">
        <f t="shared" si="37"/>
        <v>0</v>
      </c>
      <c r="EU6" s="379">
        <f t="shared" ref="EU6:EU18" si="43">SUM(EK6:ET6)</f>
        <v>7249.1124861828521</v>
      </c>
      <c r="EV6" s="381"/>
      <c r="EW6" s="382"/>
      <c r="EX6" s="382"/>
      <c r="EY6" s="382"/>
      <c r="EZ6" s="382"/>
      <c r="FA6" s="382"/>
      <c r="FB6" s="382"/>
      <c r="FC6" s="638" t="s">
        <v>1590</v>
      </c>
      <c r="FD6" s="638"/>
      <c r="FE6" s="638"/>
      <c r="FF6" s="638"/>
      <c r="FG6" s="638"/>
    </row>
    <row r="7" spans="1:163" ht="35" customHeight="1" x14ac:dyDescent="0.3">
      <c r="A7" s="330" t="s">
        <v>1775</v>
      </c>
      <c r="B7" s="318" t="s">
        <v>1109</v>
      </c>
      <c r="C7" s="318" t="s">
        <v>67</v>
      </c>
      <c r="D7" s="318" t="s">
        <v>96</v>
      </c>
      <c r="E7" s="318" t="s">
        <v>8</v>
      </c>
      <c r="F7" s="318" t="s">
        <v>271</v>
      </c>
      <c r="G7" s="318" t="s">
        <v>722</v>
      </c>
      <c r="H7" s="318" t="s">
        <v>1112</v>
      </c>
      <c r="I7" s="318" t="s">
        <v>1113</v>
      </c>
      <c r="J7" s="318" t="s">
        <v>1045</v>
      </c>
      <c r="K7" s="318" t="s">
        <v>1047</v>
      </c>
      <c r="L7" s="318" t="s">
        <v>1055</v>
      </c>
      <c r="M7" s="318" t="s">
        <v>1062</v>
      </c>
      <c r="N7" s="318" t="s">
        <v>1069</v>
      </c>
      <c r="O7" s="318" t="s">
        <v>1072</v>
      </c>
      <c r="P7" s="318" t="s">
        <v>1078</v>
      </c>
      <c r="Q7" s="318" t="s">
        <v>1082</v>
      </c>
      <c r="R7" s="318" t="s">
        <v>1086</v>
      </c>
      <c r="S7" s="318" t="s">
        <v>1088</v>
      </c>
      <c r="T7" s="318" t="s">
        <v>104</v>
      </c>
      <c r="U7" s="318" t="s">
        <v>104</v>
      </c>
      <c r="V7" s="318" t="s">
        <v>104</v>
      </c>
      <c r="W7" s="318" t="s">
        <v>104</v>
      </c>
      <c r="X7" s="318" t="s">
        <v>104</v>
      </c>
      <c r="Y7" s="318" t="s">
        <v>104</v>
      </c>
      <c r="Z7" s="318" t="s">
        <v>104</v>
      </c>
      <c r="AA7" s="318" t="s">
        <v>104</v>
      </c>
      <c r="AB7" s="318" t="s">
        <v>104</v>
      </c>
      <c r="AC7" s="318" t="s">
        <v>104</v>
      </c>
      <c r="AD7" s="318" t="s">
        <v>1771</v>
      </c>
      <c r="AE7" s="318">
        <v>60</v>
      </c>
      <c r="AF7" s="318">
        <v>60</v>
      </c>
      <c r="AG7" s="318">
        <v>2016</v>
      </c>
      <c r="AH7" s="318" t="s">
        <v>800</v>
      </c>
      <c r="AI7" s="318">
        <f>AG7</f>
        <v>2016</v>
      </c>
      <c r="AJ7" s="318" t="str">
        <f t="shared" si="5"/>
        <v>Estimated</v>
      </c>
      <c r="AK7" s="318"/>
      <c r="AL7" s="318"/>
      <c r="AM7" s="317">
        <f t="shared" si="6"/>
        <v>124419.21401210646</v>
      </c>
      <c r="AN7" s="318" t="s">
        <v>800</v>
      </c>
      <c r="AO7" s="511">
        <f t="shared" si="7"/>
        <v>19354.099957438786</v>
      </c>
      <c r="AP7" s="511">
        <f t="shared" si="8"/>
        <v>105065.11405466768</v>
      </c>
      <c r="AQ7" s="511">
        <f t="shared" si="9"/>
        <v>3225.6833262397977</v>
      </c>
      <c r="AR7" s="511">
        <f t="shared" si="10"/>
        <v>101839.43072842788</v>
      </c>
      <c r="AS7" s="511">
        <f>HLOOKUP($C$1,'Inflation Adjustments'!$BI$3:$BT$4,2)*CR7</f>
        <v>201524.20312499997</v>
      </c>
      <c r="AT7" s="511">
        <f>IF(BU7="In Service",'Maintenace Cost Assumptions'!$B$3*AS7,0)</f>
        <v>1007.6210156249999</v>
      </c>
      <c r="AU7" s="318">
        <v>3</v>
      </c>
      <c r="AV7" s="318">
        <v>3</v>
      </c>
      <c r="AW7" s="318">
        <v>4</v>
      </c>
      <c r="AX7" s="318">
        <v>4</v>
      </c>
      <c r="AY7" s="318">
        <v>4</v>
      </c>
      <c r="AZ7" s="318">
        <v>4</v>
      </c>
      <c r="BA7" s="318">
        <v>3</v>
      </c>
      <c r="BB7" s="318"/>
      <c r="BC7" s="318"/>
      <c r="BD7" s="318"/>
      <c r="BE7" s="318">
        <v>4</v>
      </c>
      <c r="BF7" s="318"/>
      <c r="BG7" s="332">
        <f>(AU7*'Condition rating weights'!H$8+AV7*'Condition rating weights'!I$8+AW7*'Condition rating weights'!J$8+AX7*'Condition rating weights'!K$8+AY7*'Condition rating weights'!L$8+AZ7*'Condition rating weights'!M$8+BA7*'Condition rating weights'!N$8+BB7*'Condition rating weights'!O$8+BC7*'Condition rating weights'!P$8+BD7*'Condition rating weights'!Q$8+BE7*'Condition rating weights'!R$8+BF7*'Condition rating weights'!S$8)/100</f>
        <v>0.7</v>
      </c>
      <c r="BH7" s="333">
        <v>1</v>
      </c>
      <c r="BI7" s="333">
        <v>111</v>
      </c>
      <c r="BJ7" s="333" t="s">
        <v>12</v>
      </c>
      <c r="BK7" s="333" t="s">
        <v>959</v>
      </c>
      <c r="BL7" s="333" t="s">
        <v>960</v>
      </c>
      <c r="BM7" s="333" t="s">
        <v>961</v>
      </c>
      <c r="BN7" s="333" t="s">
        <v>117</v>
      </c>
      <c r="BO7" s="333" t="s">
        <v>962</v>
      </c>
      <c r="BP7" s="333" t="s">
        <v>962</v>
      </c>
      <c r="BQ7" s="333" t="s">
        <v>963</v>
      </c>
      <c r="BR7" s="333" t="s">
        <v>964</v>
      </c>
      <c r="BS7" s="333" t="s">
        <v>964</v>
      </c>
      <c r="BT7" s="334" t="s">
        <v>965</v>
      </c>
      <c r="BU7" s="335" t="s">
        <v>1430</v>
      </c>
      <c r="BV7" s="255"/>
      <c r="BY7" s="376" t="str">
        <f>'GRC and TUL Assumptions'!A7</f>
        <v>Roofing</v>
      </c>
      <c r="BZ7" s="373">
        <f>'GRC and TUL Assumptions'!C7</f>
        <v>100</v>
      </c>
      <c r="CA7" s="373">
        <f>'GRC and TUL Assumptions'!D7</f>
        <v>150</v>
      </c>
      <c r="CB7" s="373">
        <f>'GRC and TUL Assumptions'!E7</f>
        <v>300</v>
      </c>
      <c r="CC7" s="373">
        <v>0</v>
      </c>
      <c r="CD7" s="373">
        <f>'GRC and TUL Assumptions'!F7</f>
        <v>10</v>
      </c>
      <c r="CE7" s="373">
        <f>'GRC and TUL Assumptions'!G7</f>
        <v>20</v>
      </c>
      <c r="CF7" s="373">
        <f>'GRC and TUL Assumptions'!H7</f>
        <v>30</v>
      </c>
      <c r="CG7" s="373">
        <f t="shared" si="38"/>
        <v>10</v>
      </c>
      <c r="CH7" s="378">
        <f t="shared" si="11"/>
        <v>12000</v>
      </c>
      <c r="CI7" s="378">
        <f t="shared" si="12"/>
        <v>48000</v>
      </c>
      <c r="CJ7" s="378">
        <f t="shared" si="13"/>
        <v>9000</v>
      </c>
      <c r="CK7" s="378">
        <f t="shared" si="14"/>
        <v>13800</v>
      </c>
      <c r="CL7" s="378">
        <f t="shared" si="15"/>
        <v>21000</v>
      </c>
      <c r="CM7" s="378">
        <f t="shared" si="16"/>
        <v>9000</v>
      </c>
      <c r="CN7" s="378">
        <f t="shared" si="17"/>
        <v>6000</v>
      </c>
      <c r="CO7" s="378">
        <f t="shared" si="18"/>
        <v>6000</v>
      </c>
      <c r="CP7" s="378">
        <f t="shared" si="19"/>
        <v>7800</v>
      </c>
      <c r="CQ7" s="378">
        <f t="shared" si="20"/>
        <v>2400</v>
      </c>
      <c r="CR7" s="354">
        <f t="shared" si="39"/>
        <v>135000</v>
      </c>
      <c r="CS7" s="379">
        <f>(HLOOKUP($AI7,'Inflation Adjustments'!$B$3:$BT$4,2,TRUE))*CH7</f>
        <v>11059.48568996502</v>
      </c>
      <c r="CT7" s="379">
        <f>(HLOOKUP($AI7,'Inflation Adjustments'!$B$3:$BT$4,2,TRUE))*CI7</f>
        <v>44237.942759860081</v>
      </c>
      <c r="CU7" s="379">
        <f>(HLOOKUP($AI7,'Inflation Adjustments'!$B$3:$BT$4,2,TRUE))*CJ7</f>
        <v>8294.6142674737657</v>
      </c>
      <c r="CV7" s="379">
        <f>(HLOOKUP($AI7,'Inflation Adjustments'!$B$3:$BT$4,2,TRUE))*CK7</f>
        <v>12718.408543459775</v>
      </c>
      <c r="CW7" s="379">
        <f>(HLOOKUP($AI7,'Inflation Adjustments'!$B$3:$BT$4,2,TRUE))*CL7</f>
        <v>19354.099957438786</v>
      </c>
      <c r="CX7" s="379">
        <f>(HLOOKUP($AI7,'Inflation Adjustments'!$B$3:$BT$4,2,TRUE))*CM7</f>
        <v>8294.6142674737657</v>
      </c>
      <c r="CY7" s="379">
        <f>(HLOOKUP($AI7,'Inflation Adjustments'!$B$3:$BT$4,2,TRUE))*CN7</f>
        <v>5529.7428449825102</v>
      </c>
      <c r="CZ7" s="379">
        <f>(HLOOKUP($AI7,'Inflation Adjustments'!$B$3:$BT$4,2,TRUE))*CO7</f>
        <v>5529.7428449825102</v>
      </c>
      <c r="DA7" s="379">
        <f>(HLOOKUP($AI7,'Inflation Adjustments'!$B$3:$BT$4,2,TRUE))*CP7</f>
        <v>7188.6656984772635</v>
      </c>
      <c r="DB7" s="379">
        <f>(HLOOKUP($AI7,'Inflation Adjustments'!$B$3:$BT$4,2,TRUE))*CQ7</f>
        <v>2211.897137993004</v>
      </c>
      <c r="DC7" s="379">
        <f t="shared" si="40"/>
        <v>124419.21401210646</v>
      </c>
      <c r="DD7" s="354">
        <f t="shared" si="21"/>
        <v>6</v>
      </c>
      <c r="DE7" s="378">
        <f t="shared" si="22"/>
        <v>60</v>
      </c>
      <c r="DF7" s="378">
        <f t="shared" si="23"/>
        <v>60</v>
      </c>
      <c r="DG7" s="378">
        <f t="shared" si="24"/>
        <v>20</v>
      </c>
      <c r="DH7" s="378">
        <f t="shared" si="25"/>
        <v>30</v>
      </c>
      <c r="DI7" s="378">
        <f t="shared" si="26"/>
        <v>60</v>
      </c>
      <c r="DJ7" s="378">
        <f t="shared" si="27"/>
        <v>30</v>
      </c>
      <c r="DK7" s="378">
        <f t="shared" si="28"/>
        <v>20</v>
      </c>
      <c r="DL7" s="378">
        <f t="shared" si="29"/>
        <v>20</v>
      </c>
      <c r="DM7" s="378">
        <f t="shared" si="30"/>
        <v>30</v>
      </c>
      <c r="DN7" s="378">
        <f t="shared" si="31"/>
        <v>30</v>
      </c>
      <c r="DO7" s="380">
        <f t="shared" si="32"/>
        <v>184.32476149941701</v>
      </c>
      <c r="DP7" s="380">
        <f t="shared" si="33"/>
        <v>737.29904599766803</v>
      </c>
      <c r="DQ7" s="380">
        <f t="shared" si="33"/>
        <v>414.73071337368827</v>
      </c>
      <c r="DR7" s="380">
        <f t="shared" si="33"/>
        <v>423.94695144865915</v>
      </c>
      <c r="DS7" s="380">
        <f t="shared" si="33"/>
        <v>322.56833262397976</v>
      </c>
      <c r="DT7" s="380">
        <f t="shared" si="33"/>
        <v>276.4871422491255</v>
      </c>
      <c r="DU7" s="380">
        <f t="shared" si="33"/>
        <v>276.4871422491255</v>
      </c>
      <c r="DV7" s="380">
        <f t="shared" si="33"/>
        <v>276.4871422491255</v>
      </c>
      <c r="DW7" s="380">
        <f t="shared" si="33"/>
        <v>239.62218994924211</v>
      </c>
      <c r="DX7" s="380">
        <f t="shared" si="33"/>
        <v>73.729904599766797</v>
      </c>
      <c r="DY7" s="380">
        <f t="shared" si="41"/>
        <v>3225.6833262397977</v>
      </c>
      <c r="DZ7" s="378">
        <f t="shared" si="34"/>
        <v>1105.948568996502</v>
      </c>
      <c r="EA7" s="378">
        <f t="shared" si="35"/>
        <v>4423.794275986008</v>
      </c>
      <c r="EB7" s="378">
        <f t="shared" si="35"/>
        <v>2488.3842802421295</v>
      </c>
      <c r="EC7" s="378">
        <f t="shared" si="35"/>
        <v>2543.681708691955</v>
      </c>
      <c r="ED7" s="378">
        <f t="shared" si="35"/>
        <v>1935.4099957438784</v>
      </c>
      <c r="EE7" s="378">
        <f t="shared" si="35"/>
        <v>1658.9228534947529</v>
      </c>
      <c r="EF7" s="378">
        <f t="shared" si="35"/>
        <v>1658.9228534947529</v>
      </c>
      <c r="EG7" s="378">
        <f t="shared" si="35"/>
        <v>1658.9228534947529</v>
      </c>
      <c r="EH7" s="378">
        <f t="shared" si="35"/>
        <v>1437.7331396954528</v>
      </c>
      <c r="EI7" s="378">
        <f t="shared" si="35"/>
        <v>442.37942759860078</v>
      </c>
      <c r="EJ7" s="354">
        <f t="shared" si="42"/>
        <v>19354.099957438786</v>
      </c>
      <c r="EK7" s="380">
        <f t="shared" si="36"/>
        <v>184.32476149941701</v>
      </c>
      <c r="EL7" s="380">
        <f t="shared" si="37"/>
        <v>737.29904599766803</v>
      </c>
      <c r="EM7" s="380">
        <f t="shared" si="37"/>
        <v>414.73071337368827</v>
      </c>
      <c r="EN7" s="380">
        <f t="shared" si="37"/>
        <v>423.94695144865915</v>
      </c>
      <c r="EO7" s="380">
        <f t="shared" si="37"/>
        <v>322.56833262397976</v>
      </c>
      <c r="EP7" s="380">
        <f t="shared" si="37"/>
        <v>276.4871422491255</v>
      </c>
      <c r="EQ7" s="380">
        <f t="shared" si="37"/>
        <v>276.4871422491255</v>
      </c>
      <c r="ER7" s="380">
        <f t="shared" si="37"/>
        <v>276.4871422491255</v>
      </c>
      <c r="ES7" s="380">
        <f t="shared" si="37"/>
        <v>239.62218994924211</v>
      </c>
      <c r="ET7" s="380">
        <f t="shared" si="37"/>
        <v>73.729904599766797</v>
      </c>
      <c r="EU7" s="379">
        <f t="shared" si="43"/>
        <v>3225.6833262397977</v>
      </c>
      <c r="EV7" s="381"/>
      <c r="EW7" s="354"/>
      <c r="EX7" s="378"/>
      <c r="EY7" s="381"/>
      <c r="EZ7" s="378"/>
      <c r="FA7" s="378"/>
      <c r="FB7" s="378">
        <f>IF(EZ7&lt;(EW7-FA7),EZ7,(E43-FA7))</f>
        <v>0</v>
      </c>
      <c r="FC7" s="638" t="s">
        <v>1590</v>
      </c>
      <c r="FD7" s="638"/>
      <c r="FE7" s="638"/>
      <c r="FF7" s="638"/>
      <c r="FG7" s="638"/>
    </row>
    <row r="8" spans="1:163" ht="35" customHeight="1" x14ac:dyDescent="0.3">
      <c r="A8" s="330" t="s">
        <v>1776</v>
      </c>
      <c r="B8" s="318" t="s">
        <v>1110</v>
      </c>
      <c r="C8" s="318" t="s">
        <v>67</v>
      </c>
      <c r="D8" s="318" t="s">
        <v>96</v>
      </c>
      <c r="E8" s="318" t="s">
        <v>8</v>
      </c>
      <c r="F8" s="318" t="s">
        <v>281</v>
      </c>
      <c r="G8" s="318" t="s">
        <v>722</v>
      </c>
      <c r="H8" s="318" t="s">
        <v>1116</v>
      </c>
      <c r="I8" s="318" t="s">
        <v>1117</v>
      </c>
      <c r="J8" s="318" t="s">
        <v>1045</v>
      </c>
      <c r="K8" s="318" t="s">
        <v>1047</v>
      </c>
      <c r="L8" s="318" t="s">
        <v>1055</v>
      </c>
      <c r="M8" s="318"/>
      <c r="N8" s="318"/>
      <c r="O8" s="318" t="s">
        <v>117</v>
      </c>
      <c r="P8" s="318" t="s">
        <v>117</v>
      </c>
      <c r="Q8" s="318" t="s">
        <v>1082</v>
      </c>
      <c r="R8" s="318" t="s">
        <v>1086</v>
      </c>
      <c r="S8" s="318" t="s">
        <v>1088</v>
      </c>
      <c r="T8" s="318" t="s">
        <v>102</v>
      </c>
      <c r="U8" s="318" t="s">
        <v>102</v>
      </c>
      <c r="V8" s="318" t="s">
        <v>104</v>
      </c>
      <c r="W8" s="318" t="s">
        <v>117</v>
      </c>
      <c r="X8" s="318" t="s">
        <v>117</v>
      </c>
      <c r="Y8" s="318" t="s">
        <v>117</v>
      </c>
      <c r="Z8" s="318" t="s">
        <v>102</v>
      </c>
      <c r="AA8" s="318" t="s">
        <v>102</v>
      </c>
      <c r="AB8" s="318" t="s">
        <v>102</v>
      </c>
      <c r="AC8" s="318" t="s">
        <v>102</v>
      </c>
      <c r="AD8" s="318" t="s">
        <v>1771</v>
      </c>
      <c r="AE8" s="318">
        <v>280</v>
      </c>
      <c r="AF8" s="318">
        <v>60</v>
      </c>
      <c r="AG8" s="318">
        <v>2016</v>
      </c>
      <c r="AH8" s="318" t="s">
        <v>982</v>
      </c>
      <c r="AI8" s="318">
        <f>AG8</f>
        <v>2016</v>
      </c>
      <c r="AJ8" s="318" t="str">
        <f t="shared" si="5"/>
        <v>Actual</v>
      </c>
      <c r="AK8" s="318"/>
      <c r="AL8" s="318"/>
      <c r="AM8" s="317">
        <f t="shared" si="6"/>
        <v>278699.03938711854</v>
      </c>
      <c r="AN8" s="318" t="s">
        <v>800</v>
      </c>
      <c r="AO8" s="511">
        <f t="shared" si="7"/>
        <v>70836.005844225947</v>
      </c>
      <c r="AP8" s="511">
        <f t="shared" si="8"/>
        <v>207863.0335428926</v>
      </c>
      <c r="AQ8" s="511">
        <f t="shared" si="9"/>
        <v>11806.000974037659</v>
      </c>
      <c r="AR8" s="511">
        <f t="shared" si="10"/>
        <v>196057.03256885495</v>
      </c>
      <c r="AS8" s="511">
        <f>HLOOKUP($C$1,'Inflation Adjustments'!$BI$3:$BT$4,2)*CR8</f>
        <v>451414.21499999997</v>
      </c>
      <c r="AT8" s="511">
        <f>IF(BU8="In Service",'Maintenace Cost Assumptions'!$B$3*AS8,0)</f>
        <v>2257.0710749999998</v>
      </c>
      <c r="AU8" s="318">
        <v>5</v>
      </c>
      <c r="AV8" s="318">
        <v>5</v>
      </c>
      <c r="AW8" s="318">
        <v>4</v>
      </c>
      <c r="AX8" s="318">
        <v>4</v>
      </c>
      <c r="AY8" s="318">
        <v>4</v>
      </c>
      <c r="AZ8" s="318">
        <v>4</v>
      </c>
      <c r="BA8" s="318">
        <v>4</v>
      </c>
      <c r="BB8" s="318"/>
      <c r="BC8" s="318"/>
      <c r="BD8" s="318"/>
      <c r="BE8" s="318">
        <v>5</v>
      </c>
      <c r="BF8" s="318"/>
      <c r="BG8" s="332">
        <f>(AU8*'Condition rating weights'!H$8+AV8*'Condition rating weights'!I$8+AW8*'Condition rating weights'!J$8+AX8*'Condition rating weights'!K$8+AY8*'Condition rating weights'!L$8+AZ8*'Condition rating weights'!M$8+BA8*'Condition rating weights'!N$8+BB8*'Condition rating weights'!O$8+BC8*'Condition rating weights'!P$8+BD8*'Condition rating weights'!Q$8+BE8*'Condition rating weights'!R$8+BF8*'Condition rating weights'!S$8)/100</f>
        <v>0.94</v>
      </c>
      <c r="BH8" s="333">
        <v>1</v>
      </c>
      <c r="BI8" s="333">
        <v>511</v>
      </c>
      <c r="BJ8" s="333" t="s">
        <v>12</v>
      </c>
      <c r="BK8" s="333" t="s">
        <v>959</v>
      </c>
      <c r="BL8" s="333" t="s">
        <v>960</v>
      </c>
      <c r="BM8" s="333" t="s">
        <v>1015</v>
      </c>
      <c r="BN8" s="333" t="s">
        <v>117</v>
      </c>
      <c r="BO8" s="333" t="s">
        <v>1016</v>
      </c>
      <c r="BP8" s="333" t="s">
        <v>1017</v>
      </c>
      <c r="BQ8" s="333" t="s">
        <v>963</v>
      </c>
      <c r="BR8" s="333" t="s">
        <v>964</v>
      </c>
      <c r="BS8" s="333" t="s">
        <v>964</v>
      </c>
      <c r="BT8" s="334" t="s">
        <v>965</v>
      </c>
      <c r="BU8" s="335" t="s">
        <v>1430</v>
      </c>
      <c r="BV8" s="255"/>
      <c r="BY8" s="376" t="str">
        <f>'GRC and TUL Assumptions'!A8</f>
        <v>Exterior Wall Cladding</v>
      </c>
      <c r="BZ8" s="373">
        <f>'GRC and TUL Assumptions'!C8</f>
        <v>150</v>
      </c>
      <c r="CA8" s="373">
        <f>'GRC and TUL Assumptions'!D8</f>
        <v>230</v>
      </c>
      <c r="CB8" s="373">
        <f>'GRC and TUL Assumptions'!E8</f>
        <v>300</v>
      </c>
      <c r="CC8" s="373">
        <v>0</v>
      </c>
      <c r="CD8" s="373">
        <f>'GRC and TUL Assumptions'!F8</f>
        <v>20</v>
      </c>
      <c r="CE8" s="373">
        <f>'GRC and TUL Assumptions'!G8</f>
        <v>30</v>
      </c>
      <c r="CF8" s="373">
        <f>'GRC and TUL Assumptions'!H8</f>
        <v>40</v>
      </c>
      <c r="CG8" s="373">
        <f t="shared" si="38"/>
        <v>20</v>
      </c>
      <c r="CH8" s="378">
        <f t="shared" si="11"/>
        <v>42000</v>
      </c>
      <c r="CI8" s="378">
        <f t="shared" si="12"/>
        <v>140000</v>
      </c>
      <c r="CJ8" s="378">
        <f t="shared" si="13"/>
        <v>42000</v>
      </c>
      <c r="CK8" s="378">
        <f t="shared" si="14"/>
        <v>0</v>
      </c>
      <c r="CL8" s="378">
        <f t="shared" si="15"/>
        <v>0</v>
      </c>
      <c r="CM8" s="378">
        <f t="shared" si="16"/>
        <v>0</v>
      </c>
      <c r="CN8" s="378">
        <f t="shared" si="17"/>
        <v>22400</v>
      </c>
      <c r="CO8" s="378">
        <f t="shared" si="18"/>
        <v>22400</v>
      </c>
      <c r="CP8" s="378">
        <f t="shared" si="19"/>
        <v>28000</v>
      </c>
      <c r="CQ8" s="378">
        <f t="shared" si="20"/>
        <v>5600</v>
      </c>
      <c r="CR8" s="354">
        <f t="shared" si="39"/>
        <v>302400</v>
      </c>
      <c r="CS8" s="379">
        <f>(HLOOKUP($AI8,'Inflation Adjustments'!$B$3:$BT$4,2,TRUE))*CH8</f>
        <v>38708.199914877572</v>
      </c>
      <c r="CT8" s="379">
        <f>(HLOOKUP($AI8,'Inflation Adjustments'!$B$3:$BT$4,2,TRUE))*CI8</f>
        <v>129027.33304959191</v>
      </c>
      <c r="CU8" s="379">
        <f>(HLOOKUP($AI8,'Inflation Adjustments'!$B$3:$BT$4,2,TRUE))*CJ8</f>
        <v>38708.199914877572</v>
      </c>
      <c r="CV8" s="379">
        <f>(HLOOKUP($AI8,'Inflation Adjustments'!$B$3:$BT$4,2,TRUE))*CK8</f>
        <v>0</v>
      </c>
      <c r="CW8" s="379">
        <f>(HLOOKUP($AI8,'Inflation Adjustments'!$B$3:$BT$4,2,TRUE))*CL8</f>
        <v>0</v>
      </c>
      <c r="CX8" s="379">
        <f>(HLOOKUP($AI8,'Inflation Adjustments'!$B$3:$BT$4,2,TRUE))*CM8</f>
        <v>0</v>
      </c>
      <c r="CY8" s="379">
        <f>(HLOOKUP($AI8,'Inflation Adjustments'!$B$3:$BT$4,2,TRUE))*CN8</f>
        <v>20644.373287934704</v>
      </c>
      <c r="CZ8" s="379">
        <f>(HLOOKUP($AI8,'Inflation Adjustments'!$B$3:$BT$4,2,TRUE))*CO8</f>
        <v>20644.373287934704</v>
      </c>
      <c r="DA8" s="379">
        <f>(HLOOKUP($AI8,'Inflation Adjustments'!$B$3:$BT$4,2,TRUE))*CP8</f>
        <v>25805.466609918381</v>
      </c>
      <c r="DB8" s="379">
        <f>(HLOOKUP($AI8,'Inflation Adjustments'!$B$3:$BT$4,2,TRUE))*CQ8</f>
        <v>5161.0933219836761</v>
      </c>
      <c r="DC8" s="379">
        <f t="shared" si="40"/>
        <v>278699.03938711854</v>
      </c>
      <c r="DD8" s="354">
        <f t="shared" si="21"/>
        <v>6</v>
      </c>
      <c r="DE8" s="378">
        <f t="shared" si="22"/>
        <v>40</v>
      </c>
      <c r="DF8" s="378">
        <f t="shared" si="23"/>
        <v>40</v>
      </c>
      <c r="DG8" s="378">
        <f t="shared" si="24"/>
        <v>20</v>
      </c>
      <c r="DH8" s="378">
        <f t="shared" si="25"/>
        <v>20</v>
      </c>
      <c r="DI8" s="378">
        <f t="shared" si="26"/>
        <v>40</v>
      </c>
      <c r="DJ8" s="378">
        <f t="shared" si="27"/>
        <v>20</v>
      </c>
      <c r="DK8" s="378">
        <f t="shared" si="28"/>
        <v>10</v>
      </c>
      <c r="DL8" s="378">
        <f t="shared" si="29"/>
        <v>10</v>
      </c>
      <c r="DM8" s="378">
        <f t="shared" si="30"/>
        <v>20</v>
      </c>
      <c r="DN8" s="378">
        <f t="shared" si="31"/>
        <v>20</v>
      </c>
      <c r="DO8" s="380">
        <f t="shared" si="32"/>
        <v>967.70499787193933</v>
      </c>
      <c r="DP8" s="380">
        <f t="shared" si="33"/>
        <v>3225.6833262397977</v>
      </c>
      <c r="DQ8" s="380">
        <f t="shared" si="33"/>
        <v>1935.4099957438787</v>
      </c>
      <c r="DR8" s="380">
        <f t="shared" si="33"/>
        <v>0</v>
      </c>
      <c r="DS8" s="380">
        <f t="shared" si="33"/>
        <v>0</v>
      </c>
      <c r="DT8" s="380">
        <f t="shared" si="33"/>
        <v>0</v>
      </c>
      <c r="DU8" s="380">
        <f t="shared" si="33"/>
        <v>2064.4373287934704</v>
      </c>
      <c r="DV8" s="380">
        <f t="shared" si="33"/>
        <v>2064.4373287934704</v>
      </c>
      <c r="DW8" s="380">
        <f t="shared" si="33"/>
        <v>1290.273330495919</v>
      </c>
      <c r="DX8" s="380">
        <f t="shared" si="33"/>
        <v>258.05466609918381</v>
      </c>
      <c r="DY8" s="380">
        <f t="shared" si="41"/>
        <v>11806.000974037659</v>
      </c>
      <c r="DZ8" s="378">
        <f t="shared" si="34"/>
        <v>5806.2299872316362</v>
      </c>
      <c r="EA8" s="378">
        <f t="shared" si="35"/>
        <v>19354.099957438786</v>
      </c>
      <c r="EB8" s="378">
        <f t="shared" si="35"/>
        <v>11612.459974463272</v>
      </c>
      <c r="EC8" s="378">
        <f t="shared" si="35"/>
        <v>0</v>
      </c>
      <c r="ED8" s="378">
        <f t="shared" si="35"/>
        <v>0</v>
      </c>
      <c r="EE8" s="378">
        <f t="shared" si="35"/>
        <v>0</v>
      </c>
      <c r="EF8" s="378">
        <f t="shared" si="35"/>
        <v>12386.623972760823</v>
      </c>
      <c r="EG8" s="378">
        <f t="shared" si="35"/>
        <v>12386.623972760823</v>
      </c>
      <c r="EH8" s="378">
        <f t="shared" si="35"/>
        <v>7741.6399829755137</v>
      </c>
      <c r="EI8" s="378">
        <f t="shared" si="35"/>
        <v>1548.3279965951028</v>
      </c>
      <c r="EJ8" s="354">
        <f t="shared" si="42"/>
        <v>70836.005844225947</v>
      </c>
      <c r="EK8" s="380">
        <f t="shared" si="36"/>
        <v>967.70499787193933</v>
      </c>
      <c r="EL8" s="380">
        <f t="shared" si="37"/>
        <v>3225.6833262397977</v>
      </c>
      <c r="EM8" s="380">
        <f t="shared" si="37"/>
        <v>1935.4099957438787</v>
      </c>
      <c r="EN8" s="380">
        <f t="shared" si="37"/>
        <v>0</v>
      </c>
      <c r="EO8" s="380">
        <f t="shared" si="37"/>
        <v>0</v>
      </c>
      <c r="EP8" s="380">
        <f t="shared" si="37"/>
        <v>0</v>
      </c>
      <c r="EQ8" s="380">
        <f t="shared" si="37"/>
        <v>2064.4373287934704</v>
      </c>
      <c r="ER8" s="380">
        <f t="shared" si="37"/>
        <v>2064.4373287934704</v>
      </c>
      <c r="ES8" s="380">
        <f t="shared" si="37"/>
        <v>1290.273330495919</v>
      </c>
      <c r="ET8" s="380">
        <f t="shared" si="37"/>
        <v>258.05466609918381</v>
      </c>
      <c r="EU8" s="379">
        <f t="shared" si="43"/>
        <v>11806.000974037659</v>
      </c>
      <c r="EV8" s="381"/>
      <c r="EW8" s="382"/>
      <c r="EX8" s="382"/>
      <c r="EY8" s="382"/>
      <c r="EZ8" s="382"/>
      <c r="FA8" s="382"/>
      <c r="FB8" s="382"/>
      <c r="FC8" s="638" t="s">
        <v>1590</v>
      </c>
      <c r="FD8" s="638"/>
      <c r="FE8" s="638"/>
      <c r="FF8" s="638"/>
      <c r="FG8" s="638"/>
    </row>
    <row r="9" spans="1:163" ht="35" customHeight="1" x14ac:dyDescent="0.3">
      <c r="A9" s="330" t="s">
        <v>1777</v>
      </c>
      <c r="B9" s="318" t="s">
        <v>322</v>
      </c>
      <c r="C9" s="318" t="s">
        <v>67</v>
      </c>
      <c r="D9" s="318" t="s">
        <v>322</v>
      </c>
      <c r="E9" s="318" t="s">
        <v>8</v>
      </c>
      <c r="F9" s="318" t="s">
        <v>281</v>
      </c>
      <c r="G9" s="318" t="s">
        <v>722</v>
      </c>
      <c r="H9" s="331" t="s">
        <v>1118</v>
      </c>
      <c r="I9" s="331" t="s">
        <v>1119</v>
      </c>
      <c r="J9" s="318" t="s">
        <v>1045</v>
      </c>
      <c r="K9" s="318" t="s">
        <v>1047</v>
      </c>
      <c r="L9" s="318" t="s">
        <v>1055</v>
      </c>
      <c r="M9" s="318"/>
      <c r="N9" s="318"/>
      <c r="O9" s="318" t="s">
        <v>117</v>
      </c>
      <c r="P9" s="318" t="s">
        <v>950</v>
      </c>
      <c r="Q9" s="318" t="s">
        <v>1082</v>
      </c>
      <c r="R9" s="318" t="s">
        <v>1086</v>
      </c>
      <c r="S9" s="318" t="s">
        <v>1088</v>
      </c>
      <c r="T9" s="318" t="s">
        <v>102</v>
      </c>
      <c r="U9" s="318" t="s">
        <v>102</v>
      </c>
      <c r="V9" s="318" t="s">
        <v>104</v>
      </c>
      <c r="W9" s="318" t="s">
        <v>117</v>
      </c>
      <c r="X9" s="318" t="s">
        <v>117</v>
      </c>
      <c r="Y9" s="318" t="s">
        <v>117</v>
      </c>
      <c r="Z9" s="318" t="s">
        <v>102</v>
      </c>
      <c r="AA9" s="318" t="s">
        <v>102</v>
      </c>
      <c r="AB9" s="318" t="s">
        <v>102</v>
      </c>
      <c r="AC9" s="318" t="s">
        <v>102</v>
      </c>
      <c r="AD9" s="318" t="s">
        <v>1771</v>
      </c>
      <c r="AE9" s="318">
        <v>140</v>
      </c>
      <c r="AF9" s="318">
        <v>60</v>
      </c>
      <c r="AG9" s="318">
        <v>2016</v>
      </c>
      <c r="AH9" s="318" t="s">
        <v>800</v>
      </c>
      <c r="AI9" s="318">
        <f>AG9</f>
        <v>2016</v>
      </c>
      <c r="AJ9" s="318" t="str">
        <f t="shared" si="5"/>
        <v>Estimated</v>
      </c>
      <c r="AK9" s="318"/>
      <c r="AL9" s="318"/>
      <c r="AM9" s="317">
        <f t="shared" si="6"/>
        <v>139349.51969355927</v>
      </c>
      <c r="AN9" s="318" t="s">
        <v>800</v>
      </c>
      <c r="AO9" s="511">
        <f t="shared" si="7"/>
        <v>35418.002922112973</v>
      </c>
      <c r="AP9" s="511">
        <f t="shared" si="8"/>
        <v>103931.5167714463</v>
      </c>
      <c r="AQ9" s="511">
        <f t="shared" si="9"/>
        <v>5903.0004870188295</v>
      </c>
      <c r="AR9" s="511">
        <f t="shared" si="10"/>
        <v>98028.516284427475</v>
      </c>
      <c r="AS9" s="511">
        <f>HLOOKUP($C$1,'Inflation Adjustments'!$BI$3:$BT$4,2)*CR9</f>
        <v>225707.10749999998</v>
      </c>
      <c r="AT9" s="511">
        <f>IF(BU9="In Service",'Maintenace Cost Assumptions'!$B$3*AS9,0)</f>
        <v>1128.5355374999999</v>
      </c>
      <c r="AU9" s="318">
        <v>4</v>
      </c>
      <c r="AV9" s="318">
        <v>4</v>
      </c>
      <c r="AW9" s="318">
        <v>4</v>
      </c>
      <c r="AX9" s="318">
        <v>4</v>
      </c>
      <c r="AY9" s="318">
        <v>4</v>
      </c>
      <c r="AZ9" s="318">
        <v>4</v>
      </c>
      <c r="BA9" s="318">
        <v>4</v>
      </c>
      <c r="BB9" s="318"/>
      <c r="BC9" s="318"/>
      <c r="BD9" s="318"/>
      <c r="BE9" s="318">
        <v>4</v>
      </c>
      <c r="BF9" s="318"/>
      <c r="BG9" s="332">
        <f>(AU9*'Condition rating weights'!H$8+AV9*'Condition rating weights'!I$8+AW9*'Condition rating weights'!J$8+AX9*'Condition rating weights'!K$8+AY9*'Condition rating weights'!L$8+AZ9*'Condition rating weights'!M$8+BA9*'Condition rating weights'!N$8+BB9*'Condition rating weights'!O$8+BC9*'Condition rating weights'!P$8+BD9*'Condition rating weights'!Q$8+BE9*'Condition rating weights'!R$8+BF9*'Condition rating weights'!S$8)/100</f>
        <v>0.8</v>
      </c>
      <c r="BH9" s="333">
        <v>1</v>
      </c>
      <c r="BI9" s="333">
        <v>511</v>
      </c>
      <c r="BJ9" s="333" t="s">
        <v>12</v>
      </c>
      <c r="BK9" s="333" t="s">
        <v>959</v>
      </c>
      <c r="BL9" s="318" t="s">
        <v>1120</v>
      </c>
      <c r="BM9" s="333" t="s">
        <v>961</v>
      </c>
      <c r="BN9" s="333" t="s">
        <v>117</v>
      </c>
      <c r="BO9" s="333" t="s">
        <v>962</v>
      </c>
      <c r="BP9" s="333" t="s">
        <v>962</v>
      </c>
      <c r="BQ9" s="333" t="s">
        <v>963</v>
      </c>
      <c r="BR9" s="333" t="s">
        <v>964</v>
      </c>
      <c r="BS9" s="333" t="s">
        <v>964</v>
      </c>
      <c r="BT9" s="334" t="s">
        <v>965</v>
      </c>
      <c r="BU9" s="335" t="s">
        <v>1430</v>
      </c>
      <c r="BV9" s="255"/>
      <c r="BY9" s="376" t="str">
        <f>'GRC and TUL Assumptions'!A9</f>
        <v>Fitouts</v>
      </c>
      <c r="BZ9" s="373">
        <f>'GRC and TUL Assumptions'!C9</f>
        <v>250</v>
      </c>
      <c r="CA9" s="373">
        <f>'GRC and TUL Assumptions'!D9</f>
        <v>350</v>
      </c>
      <c r="CB9" s="373">
        <f>'GRC and TUL Assumptions'!E9</f>
        <v>500</v>
      </c>
      <c r="CC9" s="373">
        <v>0</v>
      </c>
      <c r="CD9" s="373">
        <f>'GRC and TUL Assumptions'!F9</f>
        <v>40</v>
      </c>
      <c r="CE9" s="373">
        <f>'GRC and TUL Assumptions'!G9</f>
        <v>60</v>
      </c>
      <c r="CF9" s="373">
        <f>'GRC and TUL Assumptions'!H9</f>
        <v>60</v>
      </c>
      <c r="CG9" s="373">
        <f t="shared" si="38"/>
        <v>40</v>
      </c>
      <c r="CH9" s="378">
        <f t="shared" si="11"/>
        <v>21000</v>
      </c>
      <c r="CI9" s="378">
        <f t="shared" si="12"/>
        <v>70000</v>
      </c>
      <c r="CJ9" s="378">
        <f t="shared" si="13"/>
        <v>21000</v>
      </c>
      <c r="CK9" s="378">
        <f t="shared" si="14"/>
        <v>0</v>
      </c>
      <c r="CL9" s="378">
        <f t="shared" si="15"/>
        <v>0</v>
      </c>
      <c r="CM9" s="378">
        <f t="shared" si="16"/>
        <v>0</v>
      </c>
      <c r="CN9" s="378">
        <f t="shared" si="17"/>
        <v>11200</v>
      </c>
      <c r="CO9" s="378">
        <f t="shared" si="18"/>
        <v>11200</v>
      </c>
      <c r="CP9" s="378">
        <f t="shared" si="19"/>
        <v>14000</v>
      </c>
      <c r="CQ9" s="378">
        <f t="shared" si="20"/>
        <v>2800</v>
      </c>
      <c r="CR9" s="354">
        <f t="shared" si="39"/>
        <v>151200</v>
      </c>
      <c r="CS9" s="379">
        <f>(HLOOKUP($AI9,'Inflation Adjustments'!$B$3:$BT$4,2,TRUE))*CH9</f>
        <v>19354.099957438786</v>
      </c>
      <c r="CT9" s="379">
        <f>(HLOOKUP($AI9,'Inflation Adjustments'!$B$3:$BT$4,2,TRUE))*CI9</f>
        <v>64513.666524795954</v>
      </c>
      <c r="CU9" s="379">
        <f>(HLOOKUP($AI9,'Inflation Adjustments'!$B$3:$BT$4,2,TRUE))*CJ9</f>
        <v>19354.099957438786</v>
      </c>
      <c r="CV9" s="379">
        <f>(HLOOKUP($AI9,'Inflation Adjustments'!$B$3:$BT$4,2,TRUE))*CK9</f>
        <v>0</v>
      </c>
      <c r="CW9" s="379">
        <f>(HLOOKUP($AI9,'Inflation Adjustments'!$B$3:$BT$4,2,TRUE))*CL9</f>
        <v>0</v>
      </c>
      <c r="CX9" s="379">
        <f>(HLOOKUP($AI9,'Inflation Adjustments'!$B$3:$BT$4,2,TRUE))*CM9</f>
        <v>0</v>
      </c>
      <c r="CY9" s="379">
        <f>(HLOOKUP($AI9,'Inflation Adjustments'!$B$3:$BT$4,2,TRUE))*CN9</f>
        <v>10322.186643967352</v>
      </c>
      <c r="CZ9" s="379">
        <f>(HLOOKUP($AI9,'Inflation Adjustments'!$B$3:$BT$4,2,TRUE))*CO9</f>
        <v>10322.186643967352</v>
      </c>
      <c r="DA9" s="379">
        <f>(HLOOKUP($AI9,'Inflation Adjustments'!$B$3:$BT$4,2,TRUE))*CP9</f>
        <v>12902.733304959191</v>
      </c>
      <c r="DB9" s="379">
        <f>(HLOOKUP($AI9,'Inflation Adjustments'!$B$3:$BT$4,2,TRUE))*CQ9</f>
        <v>2580.5466609918381</v>
      </c>
      <c r="DC9" s="379">
        <f t="shared" si="40"/>
        <v>139349.51969355927</v>
      </c>
      <c r="DD9" s="354">
        <f t="shared" si="21"/>
        <v>6</v>
      </c>
      <c r="DE9" s="378">
        <f t="shared" si="22"/>
        <v>40</v>
      </c>
      <c r="DF9" s="378">
        <f t="shared" si="23"/>
        <v>40</v>
      </c>
      <c r="DG9" s="378">
        <f t="shared" si="24"/>
        <v>20</v>
      </c>
      <c r="DH9" s="378">
        <f t="shared" si="25"/>
        <v>20</v>
      </c>
      <c r="DI9" s="378">
        <f t="shared" si="26"/>
        <v>40</v>
      </c>
      <c r="DJ9" s="378">
        <f t="shared" si="27"/>
        <v>20</v>
      </c>
      <c r="DK9" s="378">
        <f t="shared" si="28"/>
        <v>10</v>
      </c>
      <c r="DL9" s="378">
        <f t="shared" si="29"/>
        <v>10</v>
      </c>
      <c r="DM9" s="378">
        <f t="shared" si="30"/>
        <v>20</v>
      </c>
      <c r="DN9" s="378">
        <f t="shared" si="31"/>
        <v>20</v>
      </c>
      <c r="DO9" s="380">
        <f t="shared" si="32"/>
        <v>483.85249893596966</v>
      </c>
      <c r="DP9" s="380">
        <f t="shared" si="33"/>
        <v>1612.8416631198988</v>
      </c>
      <c r="DQ9" s="380">
        <f t="shared" si="33"/>
        <v>967.70499787193933</v>
      </c>
      <c r="DR9" s="380">
        <f t="shared" si="33"/>
        <v>0</v>
      </c>
      <c r="DS9" s="380">
        <f t="shared" si="33"/>
        <v>0</v>
      </c>
      <c r="DT9" s="380">
        <f t="shared" si="33"/>
        <v>0</v>
      </c>
      <c r="DU9" s="380">
        <f t="shared" si="33"/>
        <v>1032.2186643967352</v>
      </c>
      <c r="DV9" s="380">
        <f t="shared" si="33"/>
        <v>1032.2186643967352</v>
      </c>
      <c r="DW9" s="380">
        <f t="shared" si="33"/>
        <v>645.13666524795951</v>
      </c>
      <c r="DX9" s="380">
        <f t="shared" si="33"/>
        <v>129.0273330495919</v>
      </c>
      <c r="DY9" s="380">
        <f t="shared" si="41"/>
        <v>5903.0004870188295</v>
      </c>
      <c r="DZ9" s="378">
        <f t="shared" si="34"/>
        <v>2903.1149936158181</v>
      </c>
      <c r="EA9" s="378">
        <f t="shared" si="35"/>
        <v>9677.049978719393</v>
      </c>
      <c r="EB9" s="378">
        <f t="shared" si="35"/>
        <v>5806.2299872316362</v>
      </c>
      <c r="EC9" s="378">
        <f t="shared" si="35"/>
        <v>0</v>
      </c>
      <c r="ED9" s="378">
        <f t="shared" si="35"/>
        <v>0</v>
      </c>
      <c r="EE9" s="378">
        <f t="shared" si="35"/>
        <v>0</v>
      </c>
      <c r="EF9" s="378">
        <f t="shared" si="35"/>
        <v>6193.3119863804113</v>
      </c>
      <c r="EG9" s="378">
        <f t="shared" si="35"/>
        <v>6193.3119863804113</v>
      </c>
      <c r="EH9" s="378">
        <f t="shared" si="35"/>
        <v>3870.8199914877569</v>
      </c>
      <c r="EI9" s="378">
        <f t="shared" si="35"/>
        <v>774.16399829755142</v>
      </c>
      <c r="EJ9" s="354">
        <f t="shared" si="42"/>
        <v>35418.002922112973</v>
      </c>
      <c r="EK9" s="380">
        <f t="shared" si="36"/>
        <v>483.85249893596966</v>
      </c>
      <c r="EL9" s="380">
        <f t="shared" si="37"/>
        <v>1612.8416631198988</v>
      </c>
      <c r="EM9" s="380">
        <f t="shared" si="37"/>
        <v>967.70499787193933</v>
      </c>
      <c r="EN9" s="380">
        <f t="shared" si="37"/>
        <v>0</v>
      </c>
      <c r="EO9" s="380">
        <f t="shared" si="37"/>
        <v>0</v>
      </c>
      <c r="EP9" s="380">
        <f t="shared" si="37"/>
        <v>0</v>
      </c>
      <c r="EQ9" s="380">
        <f t="shared" si="37"/>
        <v>1032.2186643967352</v>
      </c>
      <c r="ER9" s="380">
        <f t="shared" si="37"/>
        <v>1032.2186643967352</v>
      </c>
      <c r="ES9" s="380">
        <f t="shared" si="37"/>
        <v>645.13666524795951</v>
      </c>
      <c r="ET9" s="380">
        <f t="shared" si="37"/>
        <v>129.0273330495919</v>
      </c>
      <c r="EU9" s="379">
        <f t="shared" si="43"/>
        <v>5903.0004870188295</v>
      </c>
      <c r="EV9" s="382"/>
      <c r="EW9" s="382"/>
      <c r="EX9" s="382"/>
      <c r="EY9" s="382"/>
      <c r="EZ9" s="382"/>
      <c r="FA9" s="382"/>
      <c r="FB9" s="382"/>
      <c r="FC9" s="638" t="s">
        <v>1590</v>
      </c>
      <c r="FD9" s="638"/>
      <c r="FE9" s="638"/>
      <c r="FF9" s="638"/>
      <c r="FG9" s="638"/>
    </row>
    <row r="10" spans="1:163" ht="35" customHeight="1" x14ac:dyDescent="0.3">
      <c r="A10" s="330" t="s">
        <v>1778</v>
      </c>
      <c r="B10" s="318" t="s">
        <v>1628</v>
      </c>
      <c r="C10" s="318" t="s">
        <v>67</v>
      </c>
      <c r="D10" s="318" t="s">
        <v>97</v>
      </c>
      <c r="E10" s="318" t="s">
        <v>8</v>
      </c>
      <c r="F10" s="318" t="s">
        <v>1627</v>
      </c>
      <c r="G10" s="318" t="s">
        <v>722</v>
      </c>
      <c r="H10" s="331" t="s">
        <v>1118</v>
      </c>
      <c r="I10" s="331" t="s">
        <v>1119</v>
      </c>
      <c r="J10" s="318" t="s">
        <v>1045</v>
      </c>
      <c r="K10" s="318" t="s">
        <v>1047</v>
      </c>
      <c r="L10" s="318" t="s">
        <v>1055</v>
      </c>
      <c r="M10" s="318" t="s">
        <v>1062</v>
      </c>
      <c r="N10" s="318" t="s">
        <v>1069</v>
      </c>
      <c r="O10" s="318" t="s">
        <v>117</v>
      </c>
      <c r="P10" s="318" t="s">
        <v>950</v>
      </c>
      <c r="Q10" s="318" t="s">
        <v>1082</v>
      </c>
      <c r="R10" s="318" t="s">
        <v>1086</v>
      </c>
      <c r="S10" s="318" t="s">
        <v>1088</v>
      </c>
      <c r="T10" s="318" t="s">
        <v>102</v>
      </c>
      <c r="U10" s="318" t="s">
        <v>102</v>
      </c>
      <c r="V10" s="318" t="s">
        <v>102</v>
      </c>
      <c r="W10" s="318" t="s">
        <v>117</v>
      </c>
      <c r="X10" s="318" t="s">
        <v>117</v>
      </c>
      <c r="Y10" s="318" t="s">
        <v>117</v>
      </c>
      <c r="Z10" s="318" t="s">
        <v>102</v>
      </c>
      <c r="AA10" s="318" t="s">
        <v>102</v>
      </c>
      <c r="AB10" s="318" t="s">
        <v>102</v>
      </c>
      <c r="AC10" s="318" t="s">
        <v>102</v>
      </c>
      <c r="AD10" s="318" t="s">
        <v>1771</v>
      </c>
      <c r="AE10" s="318">
        <v>300</v>
      </c>
      <c r="AF10" s="318">
        <v>40</v>
      </c>
      <c r="AG10" s="318">
        <v>2022</v>
      </c>
      <c r="AH10" s="318" t="s">
        <v>800</v>
      </c>
      <c r="AI10" s="318">
        <v>2022</v>
      </c>
      <c r="AJ10" s="318" t="str">
        <f t="shared" ref="AJ10" si="44">AH10</f>
        <v>Estimated</v>
      </c>
      <c r="AK10" s="318"/>
      <c r="AL10" s="318"/>
      <c r="AM10" s="317">
        <v>300000</v>
      </c>
      <c r="AN10" s="318" t="s">
        <v>1108</v>
      </c>
      <c r="AO10" s="511">
        <f t="shared" ref="AO10" si="45">EJ10+FA10</f>
        <v>0</v>
      </c>
      <c r="AP10" s="511">
        <f t="shared" ref="AP10" si="46">AM10-AO10</f>
        <v>300000</v>
      </c>
      <c r="AQ10" s="511">
        <f t="shared" ref="AQ10" si="47">EU10+FB10</f>
        <v>16842.360937499998</v>
      </c>
      <c r="AR10" s="511">
        <f t="shared" ref="AR10" si="48">AP10-AQ10</f>
        <v>283157.63906249998</v>
      </c>
      <c r="AS10" s="511">
        <f>HLOOKUP($C$1,'Inflation Adjustments'!$BI$3:$BT$4,2)*CR10</f>
        <v>438874.93124999997</v>
      </c>
      <c r="AT10" s="511">
        <f>IF(BU10="In Service",'Maintenace Cost Assumptions'!$B$3*AS10,0)</f>
        <v>2194.37465625</v>
      </c>
      <c r="AU10" s="318">
        <v>5</v>
      </c>
      <c r="AV10" s="318">
        <v>5</v>
      </c>
      <c r="AW10" s="318">
        <v>5</v>
      </c>
      <c r="AX10" s="318">
        <v>5</v>
      </c>
      <c r="AY10" s="318">
        <v>5</v>
      </c>
      <c r="AZ10" s="318">
        <v>5</v>
      </c>
      <c r="BA10" s="318">
        <v>5</v>
      </c>
      <c r="BB10" s="318"/>
      <c r="BC10" s="318"/>
      <c r="BD10" s="318"/>
      <c r="BE10" s="318">
        <v>5</v>
      </c>
      <c r="BF10" s="318"/>
      <c r="BG10" s="332">
        <f>(AU10*'Condition rating weights'!H$8+AV10*'Condition rating weights'!I$8+AW10*'Condition rating weights'!J$8+AX10*'Condition rating weights'!K$8+AY10*'Condition rating weights'!L$8+AZ10*'Condition rating weights'!M$8+BA10*'Condition rating weights'!N$8+BB10*'Condition rating weights'!O$8+BC10*'Condition rating weights'!P$8+BD10*'Condition rating weights'!Q$8+BE10*'Condition rating weights'!R$8+BF10*'Condition rating weights'!S$8)/100</f>
        <v>1</v>
      </c>
      <c r="BH10" s="333">
        <v>2</v>
      </c>
      <c r="BI10" s="333">
        <v>221</v>
      </c>
      <c r="BJ10" s="333" t="s">
        <v>12</v>
      </c>
      <c r="BK10" s="333" t="s">
        <v>959</v>
      </c>
      <c r="BL10" s="318" t="s">
        <v>960</v>
      </c>
      <c r="BM10" s="333" t="s">
        <v>961</v>
      </c>
      <c r="BN10" s="333" t="s">
        <v>117</v>
      </c>
      <c r="BO10" s="333" t="s">
        <v>962</v>
      </c>
      <c r="BP10" s="333" t="s">
        <v>962</v>
      </c>
      <c r="BQ10" s="333" t="s">
        <v>963</v>
      </c>
      <c r="BR10" s="333" t="s">
        <v>964</v>
      </c>
      <c r="BS10" s="333" t="s">
        <v>964</v>
      </c>
      <c r="BT10" s="334" t="s">
        <v>965</v>
      </c>
      <c r="BU10" s="335" t="s">
        <v>1430</v>
      </c>
      <c r="BV10" s="255"/>
      <c r="BY10" s="376" t="str">
        <f>'GRC and TUL Assumptions'!A10</f>
        <v>Floor Covering</v>
      </c>
      <c r="BZ10" s="373">
        <f>'GRC and TUL Assumptions'!C10</f>
        <v>100</v>
      </c>
      <c r="CA10" s="373">
        <f>'GRC and TUL Assumptions'!D10</f>
        <v>150</v>
      </c>
      <c r="CB10" s="373">
        <f>'GRC and TUL Assumptions'!E10</f>
        <v>300</v>
      </c>
      <c r="CC10" s="373">
        <v>0</v>
      </c>
      <c r="CD10" s="373">
        <f>'GRC and TUL Assumptions'!F10</f>
        <v>20</v>
      </c>
      <c r="CE10" s="373">
        <f>'GRC and TUL Assumptions'!G10</f>
        <v>30</v>
      </c>
      <c r="CF10" s="373">
        <f>'GRC and TUL Assumptions'!H10</f>
        <v>40</v>
      </c>
      <c r="CG10" s="373">
        <f t="shared" ref="CG10" si="49">CD10</f>
        <v>20</v>
      </c>
      <c r="CH10" s="378">
        <f t="shared" ref="CH10" si="50">(HLOOKUP(T10,$BZ$4:$CC$14,2,TRUE))*$AE10</f>
        <v>45000</v>
      </c>
      <c r="CI10" s="378">
        <f t="shared" ref="CI10" si="51">(HLOOKUP(U10,$BZ$4:$CD$14,3,TRUE))*$AE10</f>
        <v>150000</v>
      </c>
      <c r="CJ10" s="378">
        <f t="shared" ref="CJ10" si="52">(HLOOKUP(V10,$BZ$4:$CD$14,4,TRUE))*$AE10/BH10</f>
        <v>15000</v>
      </c>
      <c r="CK10" s="378">
        <f t="shared" ref="CK10" si="53">(HLOOKUP(W10,$BZ$4:$CD$14,5,FALSE))*$AE10</f>
        <v>0</v>
      </c>
      <c r="CL10" s="378">
        <f t="shared" ref="CL10" si="54">(HLOOKUP(X10,$BZ$4:$CD$14,6,FALSE))*$AE10</f>
        <v>0</v>
      </c>
      <c r="CM10" s="378">
        <f t="shared" ref="CM10" si="55">(HLOOKUP(Y10,$BZ$4:$CD$14,7,FALSE))*$AE10</f>
        <v>0</v>
      </c>
      <c r="CN10" s="378">
        <f t="shared" ref="CN10" si="56">(HLOOKUP(Z10,$BZ$4:$CD$14,8,FALSE))*$AE10</f>
        <v>24000</v>
      </c>
      <c r="CO10" s="378">
        <f t="shared" ref="CO10" si="57">(HLOOKUP(AA10,$BZ$4:$CD$14,9,FALSE))*$AE10</f>
        <v>24000</v>
      </c>
      <c r="CP10" s="378">
        <f t="shared" ref="CP10" si="58">(HLOOKUP(AB10,$BZ$4:$CD$14,10,FALSE))*$AE10</f>
        <v>30000</v>
      </c>
      <c r="CQ10" s="378">
        <f t="shared" ref="CQ10" si="59">(HLOOKUP(AC10,$BZ$4:$CD$14,11,FALSE))*$AE10</f>
        <v>6000</v>
      </c>
      <c r="CR10" s="354">
        <f t="shared" ref="CR10" si="60">SUM(CH10:CQ10)</f>
        <v>294000</v>
      </c>
      <c r="CS10" s="379">
        <f>(HLOOKUP($AI10,'Inflation Adjustments'!$B$3:$BT$4,2,TRUE))*CH10</f>
        <v>58412.812499999993</v>
      </c>
      <c r="CT10" s="379">
        <f>(HLOOKUP($AI10,'Inflation Adjustments'!$B$3:$BT$4,2,TRUE))*CI10</f>
        <v>194709.37499999997</v>
      </c>
      <c r="CU10" s="379">
        <f>(HLOOKUP($AI10,'Inflation Adjustments'!$B$3:$BT$4,2,TRUE))*CJ10</f>
        <v>19470.9375</v>
      </c>
      <c r="CV10" s="379">
        <f>(HLOOKUP($AI10,'Inflation Adjustments'!$B$3:$BT$4,2,TRUE))*CK10</f>
        <v>0</v>
      </c>
      <c r="CW10" s="379">
        <f>(HLOOKUP($AI10,'Inflation Adjustments'!$B$3:$BT$4,2,TRUE))*CL10</f>
        <v>0</v>
      </c>
      <c r="CX10" s="379">
        <f>(HLOOKUP($AI10,'Inflation Adjustments'!$B$3:$BT$4,2,TRUE))*CM10</f>
        <v>0</v>
      </c>
      <c r="CY10" s="379">
        <f>(HLOOKUP($AI10,'Inflation Adjustments'!$B$3:$BT$4,2,TRUE))*CN10</f>
        <v>31153.499999999996</v>
      </c>
      <c r="CZ10" s="379">
        <f>(HLOOKUP($AI10,'Inflation Adjustments'!$B$3:$BT$4,2,TRUE))*CO10</f>
        <v>31153.499999999996</v>
      </c>
      <c r="DA10" s="379">
        <f>(HLOOKUP($AI10,'Inflation Adjustments'!$B$3:$BT$4,2,TRUE))*CP10</f>
        <v>38941.875</v>
      </c>
      <c r="DB10" s="379">
        <f>(HLOOKUP($AI10,'Inflation Adjustments'!$B$3:$BT$4,2,TRUE))*CQ10</f>
        <v>7788.3749999999991</v>
      </c>
      <c r="DC10" s="379">
        <f t="shared" ref="DC10" si="61">SUM(CS10:DB10)</f>
        <v>381630.375</v>
      </c>
      <c r="DD10" s="354">
        <f t="shared" ref="DD10" si="62">IF(($C$1-AI10-1)&lt;0,0,$C$1-AI10-1)</f>
        <v>0</v>
      </c>
      <c r="DE10" s="378">
        <f t="shared" ref="DE10" si="63">(HLOOKUP(T10,$CD$4:$CG$14,2,FALSE))</f>
        <v>40</v>
      </c>
      <c r="DF10" s="378">
        <f t="shared" ref="DF10" si="64">(HLOOKUP(U10,$CD$4:$CG$14,3,FALSE))</f>
        <v>40</v>
      </c>
      <c r="DG10" s="378">
        <f t="shared" ref="DG10" si="65">(HLOOKUP(V10,$CD$4:$CG$14,4,FALSE))</f>
        <v>10</v>
      </c>
      <c r="DH10" s="378">
        <f t="shared" ref="DH10" si="66">(HLOOKUP(W10,$CD$4:$CG$14,5,FALSE))</f>
        <v>20</v>
      </c>
      <c r="DI10" s="378">
        <f t="shared" ref="DI10" si="67">(HLOOKUP(X10,$CD$4:$CG$14,6,FALSE))</f>
        <v>40</v>
      </c>
      <c r="DJ10" s="378">
        <f t="shared" ref="DJ10" si="68">(HLOOKUP(Y10,$CD$4:$CG$14,7,FALSE))</f>
        <v>20</v>
      </c>
      <c r="DK10" s="378">
        <f t="shared" ref="DK10" si="69">(HLOOKUP(Z10,$CD$4:$CG$14,8,FALSE))</f>
        <v>10</v>
      </c>
      <c r="DL10" s="378">
        <f t="shared" ref="DL10" si="70">(HLOOKUP(AA10,$CD$4:$CG$14,8,FALSE))</f>
        <v>10</v>
      </c>
      <c r="DM10" s="378">
        <f t="shared" ref="DM10" si="71">(HLOOKUP(AB10,$CD$4:$CG$14,9))</f>
        <v>20</v>
      </c>
      <c r="DN10" s="378">
        <f t="shared" ref="DN10" si="72">(HLOOKUP(AC10,$CD$4:$CG$14,10))</f>
        <v>20</v>
      </c>
      <c r="DO10" s="380">
        <f t="shared" ref="DO10" si="73">CS10/DE10</f>
        <v>1460.3203124999998</v>
      </c>
      <c r="DP10" s="380">
        <f t="shared" ref="DP10" si="74">CT10/DF10</f>
        <v>4867.7343749999991</v>
      </c>
      <c r="DQ10" s="380">
        <f t="shared" ref="DQ10" si="75">CU10/DG10</f>
        <v>1947.09375</v>
      </c>
      <c r="DR10" s="380">
        <f t="shared" ref="DR10" si="76">CV10/DH10</f>
        <v>0</v>
      </c>
      <c r="DS10" s="380">
        <f t="shared" ref="DS10" si="77">CW10/DI10</f>
        <v>0</v>
      </c>
      <c r="DT10" s="380">
        <f t="shared" ref="DT10" si="78">CX10/DJ10</f>
        <v>0</v>
      </c>
      <c r="DU10" s="380">
        <f t="shared" ref="DU10" si="79">CY10/DK10</f>
        <v>3115.3499999999995</v>
      </c>
      <c r="DV10" s="380">
        <f t="shared" ref="DV10" si="80">CZ10/DL10</f>
        <v>3115.3499999999995</v>
      </c>
      <c r="DW10" s="380">
        <f t="shared" ref="DW10" si="81">DA10/DM10</f>
        <v>1947.09375</v>
      </c>
      <c r="DX10" s="380">
        <f t="shared" ref="DX10" si="82">DB10/DN10</f>
        <v>389.41874999999993</v>
      </c>
      <c r="DY10" s="380">
        <f t="shared" ref="DY10" si="83">SUM(DO10:DX10)</f>
        <v>16842.360937499998</v>
      </c>
      <c r="DZ10" s="378">
        <f t="shared" ref="DZ10" si="84">IF(DO10*$DD10&gt;CS10,CS10,DO10*$DD10)</f>
        <v>0</v>
      </c>
      <c r="EA10" s="378">
        <f t="shared" ref="EA10" si="85">IF(DP10*$DD10&gt;CT10,CT10,DP10*$DD10)</f>
        <v>0</v>
      </c>
      <c r="EB10" s="378">
        <f t="shared" ref="EB10" si="86">IF(DQ10*$DD10&gt;CU10,CU10,DQ10*$DD10)</f>
        <v>0</v>
      </c>
      <c r="EC10" s="378">
        <f t="shared" ref="EC10" si="87">IF(DR10*$DD10&gt;CV10,CV10,DR10*$DD10)</f>
        <v>0</v>
      </c>
      <c r="ED10" s="378">
        <f t="shared" ref="ED10" si="88">IF(DS10*$DD10&gt;CW10,CW10,DS10*$DD10)</f>
        <v>0</v>
      </c>
      <c r="EE10" s="378">
        <f t="shared" ref="EE10" si="89">IF(DT10*$DD10&gt;CX10,CX10,DT10*$DD10)</f>
        <v>0</v>
      </c>
      <c r="EF10" s="378">
        <f t="shared" ref="EF10" si="90">IF(DU10*$DD10&gt;CY10,CY10,DU10*$DD10)</f>
        <v>0</v>
      </c>
      <c r="EG10" s="378">
        <f t="shared" ref="EG10" si="91">IF(DV10*$DD10&gt;CZ10,CZ10,DV10*$DD10)</f>
        <v>0</v>
      </c>
      <c r="EH10" s="378">
        <f t="shared" ref="EH10" si="92">IF(DW10*$DD10&gt;DA10,DA10,DW10*$DD10)</f>
        <v>0</v>
      </c>
      <c r="EI10" s="378">
        <f t="shared" ref="EI10" si="93">IF(DX10*$DD10&gt;DB10,DB10,DX10*$DD10)</f>
        <v>0</v>
      </c>
      <c r="EJ10" s="354">
        <f t="shared" ref="EJ10" si="94">SUM(DZ10:EI10)</f>
        <v>0</v>
      </c>
      <c r="EK10" s="380">
        <f t="shared" ref="EK10" si="95">IF(DO10&lt;(CS10-DZ10),DO10,(CS10-DZ10))</f>
        <v>1460.3203124999998</v>
      </c>
      <c r="EL10" s="380">
        <f t="shared" ref="EL10" si="96">IF(DP10&lt;(CT10-EA10),DP10,(CT10-EA10))</f>
        <v>4867.7343749999991</v>
      </c>
      <c r="EM10" s="380">
        <f t="shared" ref="EM10" si="97">IF(DQ10&lt;(CU10-EB10),DQ10,(CU10-EB10))</f>
        <v>1947.09375</v>
      </c>
      <c r="EN10" s="380">
        <f t="shared" ref="EN10" si="98">IF(DR10&lt;(CV10-EC10),DR10,(CV10-EC10))</f>
        <v>0</v>
      </c>
      <c r="EO10" s="380">
        <f t="shared" ref="EO10" si="99">IF(DS10&lt;(CW10-ED10),DS10,(CW10-ED10))</f>
        <v>0</v>
      </c>
      <c r="EP10" s="380">
        <f t="shared" ref="EP10" si="100">IF(DT10&lt;(CX10-EE10),DT10,(CX10-EE10))</f>
        <v>0</v>
      </c>
      <c r="EQ10" s="380">
        <f t="shared" ref="EQ10" si="101">IF(DU10&lt;(CY10-EF10),DU10,(CY10-EF10))</f>
        <v>3115.3499999999995</v>
      </c>
      <c r="ER10" s="380">
        <f t="shared" ref="ER10" si="102">IF(DV10&lt;(CZ10-EG10),DV10,(CZ10-EG10))</f>
        <v>3115.3499999999995</v>
      </c>
      <c r="ES10" s="380">
        <f t="shared" ref="ES10" si="103">IF(DW10&lt;(DA10-EH10),DW10,(DA10-EH10))</f>
        <v>1947.09375</v>
      </c>
      <c r="ET10" s="380">
        <f t="shared" ref="ET10" si="104">IF(DX10&lt;(DB10-EI10),DX10,(DB10-EI10))</f>
        <v>389.41874999999993</v>
      </c>
      <c r="EU10" s="379">
        <f t="shared" ref="EU10" si="105">SUM(EK10:ET10)</f>
        <v>16842.360937499998</v>
      </c>
      <c r="EV10" s="382"/>
      <c r="EW10" s="382"/>
      <c r="EX10" s="382"/>
      <c r="EY10" s="382"/>
      <c r="EZ10" s="382"/>
      <c r="FA10" s="382"/>
      <c r="FB10" s="382"/>
      <c r="FC10" s="638" t="s">
        <v>1668</v>
      </c>
      <c r="FD10" s="638"/>
      <c r="FE10" s="638"/>
      <c r="FF10" s="638"/>
      <c r="FG10" s="638"/>
    </row>
    <row r="11" spans="1:163" ht="56" customHeight="1" x14ac:dyDescent="0.3">
      <c r="A11" s="330"/>
      <c r="B11" s="318"/>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7"/>
      <c r="AN11" s="318"/>
      <c r="AO11" s="511" t="e">
        <f t="shared" ref="AO11:AO14" si="106">EJ11+FA11</f>
        <v>#N/A</v>
      </c>
      <c r="AP11" s="511" t="e">
        <f t="shared" ref="AP11:AP14" si="107">AM11-AO11</f>
        <v>#N/A</v>
      </c>
      <c r="AQ11" s="511" t="e">
        <f t="shared" ref="AQ11:AQ14" si="108">EU11+FB11</f>
        <v>#N/A</v>
      </c>
      <c r="AR11" s="511" t="e">
        <f t="shared" ref="AR11:AR14" si="109">AP11-AQ11</f>
        <v>#N/A</v>
      </c>
      <c r="AS11" s="511" t="e">
        <f>HLOOKUP($C$1,'Inflation Adjustments'!$BI$3:$BT$4,2)*CR11</f>
        <v>#N/A</v>
      </c>
      <c r="AT11" s="511">
        <f>IF(BU11="In Service",'Maintenace Cost Assumptions'!$B$3*AS11,0)</f>
        <v>0</v>
      </c>
      <c r="AU11" s="318"/>
      <c r="AV11" s="318"/>
      <c r="AW11" s="318"/>
      <c r="AX11" s="318"/>
      <c r="AY11" s="318"/>
      <c r="AZ11" s="318"/>
      <c r="BA11" s="318"/>
      <c r="BB11" s="318"/>
      <c r="BC11" s="318"/>
      <c r="BD11" s="318"/>
      <c r="BE11" s="318"/>
      <c r="BF11" s="318"/>
      <c r="BG11" s="318"/>
      <c r="BH11" s="333"/>
      <c r="BI11" s="333"/>
      <c r="BJ11" s="333"/>
      <c r="BK11" s="333"/>
      <c r="BL11" s="333"/>
      <c r="BM11" s="333"/>
      <c r="BN11" s="333"/>
      <c r="BO11" s="333"/>
      <c r="BP11" s="333"/>
      <c r="BQ11" s="333"/>
      <c r="BR11" s="333"/>
      <c r="BS11" s="333"/>
      <c r="BT11" s="334"/>
      <c r="BU11" s="335"/>
      <c r="BV11" s="255"/>
      <c r="BY11" s="376" t="str">
        <f>'GRC and TUL Assumptions'!A11</f>
        <v>Service Mechanical</v>
      </c>
      <c r="BZ11" s="373">
        <f>'GRC and TUL Assumptions'!C11</f>
        <v>80</v>
      </c>
      <c r="CA11" s="373">
        <f>'GRC and TUL Assumptions'!D11</f>
        <v>100</v>
      </c>
      <c r="CB11" s="373">
        <f>'GRC and TUL Assumptions'!E11</f>
        <v>150</v>
      </c>
      <c r="CC11" s="373">
        <v>0</v>
      </c>
      <c r="CD11" s="373">
        <f>'GRC and TUL Assumptions'!F11</f>
        <v>10</v>
      </c>
      <c r="CE11" s="373">
        <f>'GRC and TUL Assumptions'!G11</f>
        <v>20</v>
      </c>
      <c r="CF11" s="373">
        <f>'GRC and TUL Assumptions'!H11</f>
        <v>30</v>
      </c>
      <c r="CG11" s="373">
        <f t="shared" si="38"/>
        <v>10</v>
      </c>
      <c r="CH11" s="378" t="e">
        <f t="shared" si="11"/>
        <v>#N/A</v>
      </c>
      <c r="CI11" s="378" t="e">
        <f t="shared" si="12"/>
        <v>#N/A</v>
      </c>
      <c r="CJ11" s="378" t="e">
        <f t="shared" ref="CJ11:CJ18" si="110">(HLOOKUP(V11,$BZ$4:$CD$14,4,TRUE))*$AE11</f>
        <v>#N/A</v>
      </c>
      <c r="CK11" s="378" t="e">
        <f t="shared" si="14"/>
        <v>#N/A</v>
      </c>
      <c r="CL11" s="378" t="e">
        <f t="shared" si="15"/>
        <v>#N/A</v>
      </c>
      <c r="CM11" s="378" t="e">
        <f t="shared" si="16"/>
        <v>#N/A</v>
      </c>
      <c r="CN11" s="378" t="e">
        <f t="shared" si="17"/>
        <v>#N/A</v>
      </c>
      <c r="CO11" s="378" t="e">
        <f t="shared" si="18"/>
        <v>#N/A</v>
      </c>
      <c r="CP11" s="378" t="e">
        <f t="shared" si="19"/>
        <v>#N/A</v>
      </c>
      <c r="CQ11" s="378" t="e">
        <f t="shared" si="20"/>
        <v>#N/A</v>
      </c>
      <c r="CR11" s="354" t="e">
        <f t="shared" si="39"/>
        <v>#N/A</v>
      </c>
      <c r="CS11" s="379" t="e">
        <f>(HLOOKUP($AI11,'Inflation Adjustments'!$B$3:$BT$4,2,TRUE))*CH11</f>
        <v>#N/A</v>
      </c>
      <c r="CT11" s="379" t="e">
        <f>(HLOOKUP($AI11,'Inflation Adjustments'!$B$3:$BT$4,2,TRUE))*CI11</f>
        <v>#N/A</v>
      </c>
      <c r="CU11" s="379" t="e">
        <f>(HLOOKUP($AI11,'Inflation Adjustments'!$B$3:$BT$4,2,TRUE))*CJ11</f>
        <v>#N/A</v>
      </c>
      <c r="CV11" s="379" t="e">
        <f>(HLOOKUP($AI11,'Inflation Adjustments'!$B$3:$BT$4,2,TRUE))*CK11</f>
        <v>#N/A</v>
      </c>
      <c r="CW11" s="379" t="e">
        <f>(HLOOKUP($AI11,'Inflation Adjustments'!$B$3:$BT$4,2,TRUE))*CL11</f>
        <v>#N/A</v>
      </c>
      <c r="CX11" s="379" t="e">
        <f>(HLOOKUP($AI11,'Inflation Adjustments'!$B$3:$BT$4,2,TRUE))*CM11</f>
        <v>#N/A</v>
      </c>
      <c r="CY11" s="379" t="e">
        <f>(HLOOKUP($AI11,'Inflation Adjustments'!$B$3:$BT$4,2,TRUE))*CN11</f>
        <v>#N/A</v>
      </c>
      <c r="CZ11" s="379" t="e">
        <f>(HLOOKUP($AI11,'Inflation Adjustments'!$B$3:$BT$4,2,TRUE))*CO11</f>
        <v>#N/A</v>
      </c>
      <c r="DA11" s="379" t="e">
        <f>(HLOOKUP($AI11,'Inflation Adjustments'!$B$3:$BT$4,2,TRUE))*CP11</f>
        <v>#N/A</v>
      </c>
      <c r="DB11" s="379" t="e">
        <f>(HLOOKUP($AI11,'Inflation Adjustments'!$B$3:$BT$4,2,TRUE))*CQ11</f>
        <v>#N/A</v>
      </c>
      <c r="DC11" s="379" t="e">
        <f t="shared" si="40"/>
        <v>#N/A</v>
      </c>
      <c r="DD11" s="354">
        <f t="shared" si="21"/>
        <v>2022</v>
      </c>
      <c r="DE11" s="378" t="e">
        <f t="shared" si="22"/>
        <v>#N/A</v>
      </c>
      <c r="DF11" s="378" t="e">
        <f t="shared" si="23"/>
        <v>#N/A</v>
      </c>
      <c r="DG11" s="378" t="e">
        <f t="shared" si="24"/>
        <v>#N/A</v>
      </c>
      <c r="DH11" s="378" t="e">
        <f t="shared" si="25"/>
        <v>#N/A</v>
      </c>
      <c r="DI11" s="378" t="e">
        <f t="shared" si="26"/>
        <v>#N/A</v>
      </c>
      <c r="DJ11" s="378" t="e">
        <f t="shared" si="27"/>
        <v>#N/A</v>
      </c>
      <c r="DK11" s="378" t="e">
        <f t="shared" si="28"/>
        <v>#N/A</v>
      </c>
      <c r="DL11" s="378" t="e">
        <f t="shared" si="29"/>
        <v>#N/A</v>
      </c>
      <c r="DM11" s="378" t="e">
        <f t="shared" si="30"/>
        <v>#N/A</v>
      </c>
      <c r="DN11" s="378" t="e">
        <f t="shared" si="31"/>
        <v>#N/A</v>
      </c>
      <c r="DO11" s="380" t="e">
        <f t="shared" si="32"/>
        <v>#N/A</v>
      </c>
      <c r="DP11" s="380" t="e">
        <f t="shared" si="33"/>
        <v>#N/A</v>
      </c>
      <c r="DQ11" s="380" t="e">
        <f t="shared" si="33"/>
        <v>#N/A</v>
      </c>
      <c r="DR11" s="380" t="e">
        <f t="shared" si="33"/>
        <v>#N/A</v>
      </c>
      <c r="DS11" s="380" t="e">
        <f t="shared" si="33"/>
        <v>#N/A</v>
      </c>
      <c r="DT11" s="380" t="e">
        <f t="shared" si="33"/>
        <v>#N/A</v>
      </c>
      <c r="DU11" s="380" t="e">
        <f t="shared" si="33"/>
        <v>#N/A</v>
      </c>
      <c r="DV11" s="380" t="e">
        <f t="shared" si="33"/>
        <v>#N/A</v>
      </c>
      <c r="DW11" s="380" t="e">
        <f t="shared" si="33"/>
        <v>#N/A</v>
      </c>
      <c r="DX11" s="380" t="e">
        <f t="shared" si="33"/>
        <v>#N/A</v>
      </c>
      <c r="DY11" s="380" t="e">
        <f t="shared" si="41"/>
        <v>#N/A</v>
      </c>
      <c r="DZ11" s="378" t="e">
        <f t="shared" si="34"/>
        <v>#N/A</v>
      </c>
      <c r="EA11" s="378" t="e">
        <f t="shared" si="35"/>
        <v>#N/A</v>
      </c>
      <c r="EB11" s="378" t="e">
        <f t="shared" si="35"/>
        <v>#N/A</v>
      </c>
      <c r="EC11" s="378" t="e">
        <f t="shared" si="35"/>
        <v>#N/A</v>
      </c>
      <c r="ED11" s="378" t="e">
        <f t="shared" si="35"/>
        <v>#N/A</v>
      </c>
      <c r="EE11" s="378" t="e">
        <f t="shared" si="35"/>
        <v>#N/A</v>
      </c>
      <c r="EF11" s="378" t="e">
        <f t="shared" si="35"/>
        <v>#N/A</v>
      </c>
      <c r="EG11" s="378" t="e">
        <f t="shared" si="35"/>
        <v>#N/A</v>
      </c>
      <c r="EH11" s="378" t="e">
        <f t="shared" si="35"/>
        <v>#N/A</v>
      </c>
      <c r="EI11" s="378" t="e">
        <f t="shared" si="35"/>
        <v>#N/A</v>
      </c>
      <c r="EJ11" s="354" t="e">
        <f t="shared" si="42"/>
        <v>#N/A</v>
      </c>
      <c r="EK11" s="380" t="e">
        <f t="shared" si="36"/>
        <v>#N/A</v>
      </c>
      <c r="EL11" s="380" t="e">
        <f t="shared" si="37"/>
        <v>#N/A</v>
      </c>
      <c r="EM11" s="380" t="e">
        <f t="shared" si="37"/>
        <v>#N/A</v>
      </c>
      <c r="EN11" s="380" t="e">
        <f t="shared" si="37"/>
        <v>#N/A</v>
      </c>
      <c r="EO11" s="380" t="e">
        <f t="shared" si="37"/>
        <v>#N/A</v>
      </c>
      <c r="EP11" s="380" t="e">
        <f t="shared" si="37"/>
        <v>#N/A</v>
      </c>
      <c r="EQ11" s="380" t="e">
        <f t="shared" si="37"/>
        <v>#N/A</v>
      </c>
      <c r="ER11" s="380" t="e">
        <f t="shared" si="37"/>
        <v>#N/A</v>
      </c>
      <c r="ES11" s="380" t="e">
        <f t="shared" si="37"/>
        <v>#N/A</v>
      </c>
      <c r="ET11" s="380" t="e">
        <f t="shared" si="37"/>
        <v>#N/A</v>
      </c>
      <c r="EU11" s="379" t="e">
        <f t="shared" si="43"/>
        <v>#N/A</v>
      </c>
      <c r="EV11" s="382"/>
      <c r="EW11" s="382"/>
      <c r="EX11" s="382"/>
      <c r="EY11" s="382"/>
      <c r="EZ11" s="382"/>
      <c r="FA11" s="382"/>
      <c r="FB11" s="382"/>
    </row>
    <row r="12" spans="1:163" ht="56" customHeight="1" x14ac:dyDescent="0.3">
      <c r="A12" s="330"/>
      <c r="B12" s="318"/>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7"/>
      <c r="AN12" s="318"/>
      <c r="AO12" s="511" t="e">
        <f t="shared" si="106"/>
        <v>#N/A</v>
      </c>
      <c r="AP12" s="511" t="e">
        <f t="shared" si="107"/>
        <v>#N/A</v>
      </c>
      <c r="AQ12" s="511" t="e">
        <f t="shared" si="108"/>
        <v>#N/A</v>
      </c>
      <c r="AR12" s="511" t="e">
        <f t="shared" si="109"/>
        <v>#N/A</v>
      </c>
      <c r="AS12" s="511" t="e">
        <f>HLOOKUP($C$1,'Inflation Adjustments'!$BI$3:$BT$4,2)*CR12</f>
        <v>#N/A</v>
      </c>
      <c r="AT12" s="511">
        <f>IF(BU12="In Service",'Maintenace Cost Assumptions'!$B$3*AS12,0)</f>
        <v>0</v>
      </c>
      <c r="AU12" s="318"/>
      <c r="AV12" s="318"/>
      <c r="AW12" s="318"/>
      <c r="AX12" s="318"/>
      <c r="AY12" s="318"/>
      <c r="AZ12" s="318"/>
      <c r="BA12" s="318"/>
      <c r="BB12" s="318"/>
      <c r="BC12" s="318"/>
      <c r="BD12" s="318"/>
      <c r="BE12" s="318"/>
      <c r="BF12" s="318"/>
      <c r="BG12" s="318"/>
      <c r="BH12" s="333"/>
      <c r="BI12" s="333"/>
      <c r="BJ12" s="333"/>
      <c r="BK12" s="333"/>
      <c r="BL12" s="333"/>
      <c r="BM12" s="333"/>
      <c r="BN12" s="333"/>
      <c r="BO12" s="333"/>
      <c r="BP12" s="333"/>
      <c r="BQ12" s="333"/>
      <c r="BR12" s="333"/>
      <c r="BS12" s="333"/>
      <c r="BT12" s="334"/>
      <c r="BU12" s="335"/>
      <c r="BV12" s="255"/>
      <c r="BY12" s="376" t="str">
        <f>'GRC and TUL Assumptions'!A12</f>
        <v>Services Electrical</v>
      </c>
      <c r="BZ12" s="373">
        <f>'GRC and TUL Assumptions'!C12</f>
        <v>80</v>
      </c>
      <c r="CA12" s="373">
        <f>'GRC and TUL Assumptions'!D12</f>
        <v>100</v>
      </c>
      <c r="CB12" s="373">
        <f>'GRC and TUL Assumptions'!E12</f>
        <v>150</v>
      </c>
      <c r="CC12" s="373">
        <v>0</v>
      </c>
      <c r="CD12" s="373">
        <f>'GRC and TUL Assumptions'!F12</f>
        <v>20</v>
      </c>
      <c r="CE12" s="373">
        <f>'GRC and TUL Assumptions'!G12</f>
        <v>30</v>
      </c>
      <c r="CF12" s="373">
        <f>'GRC and TUL Assumptions'!H12</f>
        <v>40</v>
      </c>
      <c r="CG12" s="373">
        <f t="shared" si="38"/>
        <v>20</v>
      </c>
      <c r="CH12" s="378" t="e">
        <f t="shared" si="11"/>
        <v>#N/A</v>
      </c>
      <c r="CI12" s="378" t="e">
        <f t="shared" si="12"/>
        <v>#N/A</v>
      </c>
      <c r="CJ12" s="378" t="e">
        <f t="shared" si="110"/>
        <v>#N/A</v>
      </c>
      <c r="CK12" s="378" t="e">
        <f t="shared" si="14"/>
        <v>#N/A</v>
      </c>
      <c r="CL12" s="378" t="e">
        <f t="shared" si="15"/>
        <v>#N/A</v>
      </c>
      <c r="CM12" s="378" t="e">
        <f t="shared" si="16"/>
        <v>#N/A</v>
      </c>
      <c r="CN12" s="378" t="e">
        <f t="shared" si="17"/>
        <v>#N/A</v>
      </c>
      <c r="CO12" s="378" t="e">
        <f t="shared" si="18"/>
        <v>#N/A</v>
      </c>
      <c r="CP12" s="378" t="e">
        <f t="shared" si="19"/>
        <v>#N/A</v>
      </c>
      <c r="CQ12" s="378" t="e">
        <f t="shared" si="20"/>
        <v>#N/A</v>
      </c>
      <c r="CR12" s="354" t="e">
        <f t="shared" si="39"/>
        <v>#N/A</v>
      </c>
      <c r="CS12" s="379" t="e">
        <f>(HLOOKUP($AI12,'Inflation Adjustments'!$B$3:$BT$4,2,TRUE))*CH12</f>
        <v>#N/A</v>
      </c>
      <c r="CT12" s="379" t="e">
        <f>(HLOOKUP($AI12,'Inflation Adjustments'!$B$3:$BT$4,2,TRUE))*CI12</f>
        <v>#N/A</v>
      </c>
      <c r="CU12" s="379" t="e">
        <f>(HLOOKUP($AI12,'Inflation Adjustments'!$B$3:$BT$4,2,TRUE))*CJ12</f>
        <v>#N/A</v>
      </c>
      <c r="CV12" s="379" t="e">
        <f>(HLOOKUP($AI12,'Inflation Adjustments'!$B$3:$BT$4,2,TRUE))*CK12</f>
        <v>#N/A</v>
      </c>
      <c r="CW12" s="379" t="e">
        <f>(HLOOKUP($AI12,'Inflation Adjustments'!$B$3:$BT$4,2,TRUE))*CL12</f>
        <v>#N/A</v>
      </c>
      <c r="CX12" s="379" t="e">
        <f>(HLOOKUP($AI12,'Inflation Adjustments'!$B$3:$BT$4,2,TRUE))*CM12</f>
        <v>#N/A</v>
      </c>
      <c r="CY12" s="379" t="e">
        <f>(HLOOKUP($AI12,'Inflation Adjustments'!$B$3:$BT$4,2,TRUE))*CN12</f>
        <v>#N/A</v>
      </c>
      <c r="CZ12" s="379" t="e">
        <f>(HLOOKUP($AI12,'Inflation Adjustments'!$B$3:$BT$4,2,TRUE))*CO12</f>
        <v>#N/A</v>
      </c>
      <c r="DA12" s="379" t="e">
        <f>(HLOOKUP($AI12,'Inflation Adjustments'!$B$3:$BT$4,2,TRUE))*CP12</f>
        <v>#N/A</v>
      </c>
      <c r="DB12" s="379" t="e">
        <f>(HLOOKUP($AI12,'Inflation Adjustments'!$B$3:$BT$4,2,TRUE))*CQ12</f>
        <v>#N/A</v>
      </c>
      <c r="DC12" s="379" t="e">
        <f t="shared" si="40"/>
        <v>#N/A</v>
      </c>
      <c r="DD12" s="354">
        <f t="shared" si="21"/>
        <v>2022</v>
      </c>
      <c r="DE12" s="378" t="e">
        <f t="shared" si="22"/>
        <v>#N/A</v>
      </c>
      <c r="DF12" s="378" t="e">
        <f t="shared" si="23"/>
        <v>#N/A</v>
      </c>
      <c r="DG12" s="378" t="e">
        <f t="shared" si="24"/>
        <v>#N/A</v>
      </c>
      <c r="DH12" s="378" t="e">
        <f t="shared" si="25"/>
        <v>#N/A</v>
      </c>
      <c r="DI12" s="378" t="e">
        <f t="shared" si="26"/>
        <v>#N/A</v>
      </c>
      <c r="DJ12" s="378" t="e">
        <f t="shared" si="27"/>
        <v>#N/A</v>
      </c>
      <c r="DK12" s="378" t="e">
        <f t="shared" si="28"/>
        <v>#N/A</v>
      </c>
      <c r="DL12" s="378" t="e">
        <f t="shared" si="29"/>
        <v>#N/A</v>
      </c>
      <c r="DM12" s="378" t="e">
        <f t="shared" si="30"/>
        <v>#N/A</v>
      </c>
      <c r="DN12" s="378" t="e">
        <f t="shared" si="31"/>
        <v>#N/A</v>
      </c>
      <c r="DO12" s="380" t="e">
        <f t="shared" si="32"/>
        <v>#N/A</v>
      </c>
      <c r="DP12" s="380" t="e">
        <f t="shared" si="33"/>
        <v>#N/A</v>
      </c>
      <c r="DQ12" s="380" t="e">
        <f t="shared" si="33"/>
        <v>#N/A</v>
      </c>
      <c r="DR12" s="380" t="e">
        <f t="shared" si="33"/>
        <v>#N/A</v>
      </c>
      <c r="DS12" s="380" t="e">
        <f t="shared" si="33"/>
        <v>#N/A</v>
      </c>
      <c r="DT12" s="380" t="e">
        <f t="shared" si="33"/>
        <v>#N/A</v>
      </c>
      <c r="DU12" s="380" t="e">
        <f t="shared" si="33"/>
        <v>#N/A</v>
      </c>
      <c r="DV12" s="380" t="e">
        <f t="shared" si="33"/>
        <v>#N/A</v>
      </c>
      <c r="DW12" s="380" t="e">
        <f t="shared" si="33"/>
        <v>#N/A</v>
      </c>
      <c r="DX12" s="380" t="e">
        <f t="shared" si="33"/>
        <v>#N/A</v>
      </c>
      <c r="DY12" s="380" t="e">
        <f t="shared" si="41"/>
        <v>#N/A</v>
      </c>
      <c r="DZ12" s="378" t="e">
        <f t="shared" si="34"/>
        <v>#N/A</v>
      </c>
      <c r="EA12" s="378" t="e">
        <f t="shared" si="35"/>
        <v>#N/A</v>
      </c>
      <c r="EB12" s="378" t="e">
        <f t="shared" si="35"/>
        <v>#N/A</v>
      </c>
      <c r="EC12" s="378" t="e">
        <f t="shared" si="35"/>
        <v>#N/A</v>
      </c>
      <c r="ED12" s="378" t="e">
        <f t="shared" si="35"/>
        <v>#N/A</v>
      </c>
      <c r="EE12" s="378" t="e">
        <f t="shared" si="35"/>
        <v>#N/A</v>
      </c>
      <c r="EF12" s="378" t="e">
        <f t="shared" si="35"/>
        <v>#N/A</v>
      </c>
      <c r="EG12" s="378" t="e">
        <f t="shared" si="35"/>
        <v>#N/A</v>
      </c>
      <c r="EH12" s="378" t="e">
        <f t="shared" si="35"/>
        <v>#N/A</v>
      </c>
      <c r="EI12" s="378" t="e">
        <f t="shared" si="35"/>
        <v>#N/A</v>
      </c>
      <c r="EJ12" s="354" t="e">
        <f t="shared" si="42"/>
        <v>#N/A</v>
      </c>
      <c r="EK12" s="380" t="e">
        <f t="shared" si="36"/>
        <v>#N/A</v>
      </c>
      <c r="EL12" s="380" t="e">
        <f t="shared" si="37"/>
        <v>#N/A</v>
      </c>
      <c r="EM12" s="380" t="e">
        <f t="shared" si="37"/>
        <v>#N/A</v>
      </c>
      <c r="EN12" s="380" t="e">
        <f t="shared" si="37"/>
        <v>#N/A</v>
      </c>
      <c r="EO12" s="380" t="e">
        <f t="shared" si="37"/>
        <v>#N/A</v>
      </c>
      <c r="EP12" s="380" t="e">
        <f t="shared" si="37"/>
        <v>#N/A</v>
      </c>
      <c r="EQ12" s="380" t="e">
        <f t="shared" si="37"/>
        <v>#N/A</v>
      </c>
      <c r="ER12" s="380" t="e">
        <f t="shared" si="37"/>
        <v>#N/A</v>
      </c>
      <c r="ES12" s="380" t="e">
        <f t="shared" si="37"/>
        <v>#N/A</v>
      </c>
      <c r="ET12" s="380" t="e">
        <f t="shared" si="37"/>
        <v>#N/A</v>
      </c>
      <c r="EU12" s="379" t="e">
        <f t="shared" si="43"/>
        <v>#N/A</v>
      </c>
      <c r="EV12" s="382"/>
      <c r="EW12" s="382"/>
      <c r="EX12" s="382"/>
      <c r="EY12" s="382"/>
      <c r="EZ12" s="382"/>
      <c r="FA12" s="382"/>
      <c r="FB12" s="382"/>
    </row>
    <row r="13" spans="1:163" ht="64" customHeight="1" x14ac:dyDescent="0.3">
      <c r="A13" s="330"/>
      <c r="B13" s="318"/>
      <c r="C13" s="318"/>
      <c r="D13" s="318"/>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7"/>
      <c r="AN13" s="318"/>
      <c r="AO13" s="511" t="e">
        <f t="shared" si="106"/>
        <v>#N/A</v>
      </c>
      <c r="AP13" s="511" t="e">
        <f t="shared" si="107"/>
        <v>#N/A</v>
      </c>
      <c r="AQ13" s="511" t="e">
        <f t="shared" si="108"/>
        <v>#N/A</v>
      </c>
      <c r="AR13" s="511" t="e">
        <f t="shared" si="109"/>
        <v>#N/A</v>
      </c>
      <c r="AS13" s="511" t="e">
        <f>HLOOKUP($C$1,'Inflation Adjustments'!$BI$3:$BT$4,2)*CR13</f>
        <v>#N/A</v>
      </c>
      <c r="AT13" s="511">
        <f>IF(BU13="In Service",'Maintenace Cost Assumptions'!$B$3*AS13,0)</f>
        <v>0</v>
      </c>
      <c r="AU13" s="318"/>
      <c r="AV13" s="318"/>
      <c r="AW13" s="318"/>
      <c r="AX13" s="318"/>
      <c r="AY13" s="318"/>
      <c r="AZ13" s="318"/>
      <c r="BA13" s="318"/>
      <c r="BB13" s="318"/>
      <c r="BC13" s="318"/>
      <c r="BD13" s="318"/>
      <c r="BE13" s="318"/>
      <c r="BF13" s="318"/>
      <c r="BG13" s="318"/>
      <c r="BH13" s="333"/>
      <c r="BI13" s="333"/>
      <c r="BJ13" s="333"/>
      <c r="BK13" s="333"/>
      <c r="BL13" s="333"/>
      <c r="BM13" s="333"/>
      <c r="BN13" s="333"/>
      <c r="BO13" s="333"/>
      <c r="BP13" s="333"/>
      <c r="BQ13" s="333"/>
      <c r="BR13" s="333"/>
      <c r="BS13" s="333"/>
      <c r="BT13" s="334"/>
      <c r="BU13" s="335"/>
      <c r="BV13" s="255"/>
      <c r="BY13" s="376" t="str">
        <f>'GRC and TUL Assumptions'!A13</f>
        <v>Services Sanitation</v>
      </c>
      <c r="BZ13" s="373">
        <f>'GRC and TUL Assumptions'!C13</f>
        <v>100</v>
      </c>
      <c r="CA13" s="373">
        <f>'GRC and TUL Assumptions'!D13</f>
        <v>130</v>
      </c>
      <c r="CB13" s="373">
        <f>'GRC and TUL Assumptions'!E13</f>
        <v>150</v>
      </c>
      <c r="CC13" s="373">
        <v>0</v>
      </c>
      <c r="CD13" s="373">
        <f>'GRC and TUL Assumptions'!F13</f>
        <v>20</v>
      </c>
      <c r="CE13" s="373">
        <f>'GRC and TUL Assumptions'!G13</f>
        <v>30</v>
      </c>
      <c r="CF13" s="373">
        <f>'GRC and TUL Assumptions'!H13</f>
        <v>40</v>
      </c>
      <c r="CG13" s="373">
        <f t="shared" si="38"/>
        <v>20</v>
      </c>
      <c r="CH13" s="378" t="e">
        <f t="shared" si="11"/>
        <v>#N/A</v>
      </c>
      <c r="CI13" s="378" t="e">
        <f t="shared" si="12"/>
        <v>#N/A</v>
      </c>
      <c r="CJ13" s="378" t="e">
        <f t="shared" si="110"/>
        <v>#N/A</v>
      </c>
      <c r="CK13" s="378" t="e">
        <f t="shared" si="14"/>
        <v>#N/A</v>
      </c>
      <c r="CL13" s="378" t="e">
        <f t="shared" si="15"/>
        <v>#N/A</v>
      </c>
      <c r="CM13" s="378" t="e">
        <f t="shared" si="16"/>
        <v>#N/A</v>
      </c>
      <c r="CN13" s="378" t="e">
        <f t="shared" si="17"/>
        <v>#N/A</v>
      </c>
      <c r="CO13" s="378" t="e">
        <f t="shared" si="18"/>
        <v>#N/A</v>
      </c>
      <c r="CP13" s="378" t="e">
        <f t="shared" si="19"/>
        <v>#N/A</v>
      </c>
      <c r="CQ13" s="378" t="e">
        <f t="shared" si="20"/>
        <v>#N/A</v>
      </c>
      <c r="CR13" s="354" t="e">
        <f t="shared" si="39"/>
        <v>#N/A</v>
      </c>
      <c r="CS13" s="379" t="e">
        <f>(HLOOKUP($AI13,'Inflation Adjustments'!$B$3:$BT$4,2,TRUE))*CH13</f>
        <v>#N/A</v>
      </c>
      <c r="CT13" s="379" t="e">
        <f>(HLOOKUP($AI13,'Inflation Adjustments'!$B$3:$BT$4,2,TRUE))*CI13</f>
        <v>#N/A</v>
      </c>
      <c r="CU13" s="379" t="e">
        <f>(HLOOKUP($AI13,'Inflation Adjustments'!$B$3:$BT$4,2,TRUE))*CJ13</f>
        <v>#N/A</v>
      </c>
      <c r="CV13" s="379" t="e">
        <f>(HLOOKUP($AI13,'Inflation Adjustments'!$B$3:$BT$4,2,TRUE))*CK13</f>
        <v>#N/A</v>
      </c>
      <c r="CW13" s="379" t="e">
        <f>(HLOOKUP($AI13,'Inflation Adjustments'!$B$3:$BT$4,2,TRUE))*CL13</f>
        <v>#N/A</v>
      </c>
      <c r="CX13" s="379" t="e">
        <f>(HLOOKUP($AI13,'Inflation Adjustments'!$B$3:$BT$4,2,TRUE))*CM13</f>
        <v>#N/A</v>
      </c>
      <c r="CY13" s="379" t="e">
        <f>(HLOOKUP($AI13,'Inflation Adjustments'!$B$3:$BT$4,2,TRUE))*CN13</f>
        <v>#N/A</v>
      </c>
      <c r="CZ13" s="379" t="e">
        <f>(HLOOKUP($AI13,'Inflation Adjustments'!$B$3:$BT$4,2,TRUE))*CO13</f>
        <v>#N/A</v>
      </c>
      <c r="DA13" s="379" t="e">
        <f>(HLOOKUP($AI13,'Inflation Adjustments'!$B$3:$BT$4,2,TRUE))*CP13</f>
        <v>#N/A</v>
      </c>
      <c r="DB13" s="379" t="e">
        <f>(HLOOKUP($AI13,'Inflation Adjustments'!$B$3:$BT$4,2,TRUE))*CQ13</f>
        <v>#N/A</v>
      </c>
      <c r="DC13" s="379" t="e">
        <f t="shared" si="40"/>
        <v>#N/A</v>
      </c>
      <c r="DD13" s="354">
        <f t="shared" si="21"/>
        <v>2022</v>
      </c>
      <c r="DE13" s="378" t="e">
        <f t="shared" si="22"/>
        <v>#N/A</v>
      </c>
      <c r="DF13" s="378" t="e">
        <f t="shared" si="23"/>
        <v>#N/A</v>
      </c>
      <c r="DG13" s="378" t="e">
        <f t="shared" si="24"/>
        <v>#N/A</v>
      </c>
      <c r="DH13" s="378" t="e">
        <f t="shared" si="25"/>
        <v>#N/A</v>
      </c>
      <c r="DI13" s="378" t="e">
        <f t="shared" si="26"/>
        <v>#N/A</v>
      </c>
      <c r="DJ13" s="378" t="e">
        <f t="shared" si="27"/>
        <v>#N/A</v>
      </c>
      <c r="DK13" s="378" t="e">
        <f t="shared" si="28"/>
        <v>#N/A</v>
      </c>
      <c r="DL13" s="378" t="e">
        <f t="shared" si="29"/>
        <v>#N/A</v>
      </c>
      <c r="DM13" s="378" t="e">
        <f t="shared" si="30"/>
        <v>#N/A</v>
      </c>
      <c r="DN13" s="378" t="e">
        <f t="shared" si="31"/>
        <v>#N/A</v>
      </c>
      <c r="DO13" s="380" t="e">
        <f t="shared" si="32"/>
        <v>#N/A</v>
      </c>
      <c r="DP13" s="380" t="e">
        <f t="shared" si="33"/>
        <v>#N/A</v>
      </c>
      <c r="DQ13" s="380" t="e">
        <f t="shared" si="33"/>
        <v>#N/A</v>
      </c>
      <c r="DR13" s="380" t="e">
        <f t="shared" si="33"/>
        <v>#N/A</v>
      </c>
      <c r="DS13" s="380" t="e">
        <f t="shared" si="33"/>
        <v>#N/A</v>
      </c>
      <c r="DT13" s="380" t="e">
        <f t="shared" si="33"/>
        <v>#N/A</v>
      </c>
      <c r="DU13" s="380" t="e">
        <f t="shared" si="33"/>
        <v>#N/A</v>
      </c>
      <c r="DV13" s="380" t="e">
        <f t="shared" si="33"/>
        <v>#N/A</v>
      </c>
      <c r="DW13" s="380" t="e">
        <f t="shared" si="33"/>
        <v>#N/A</v>
      </c>
      <c r="DX13" s="380" t="e">
        <f t="shared" si="33"/>
        <v>#N/A</v>
      </c>
      <c r="DY13" s="380" t="e">
        <f t="shared" si="41"/>
        <v>#N/A</v>
      </c>
      <c r="DZ13" s="378" t="e">
        <f t="shared" si="34"/>
        <v>#N/A</v>
      </c>
      <c r="EA13" s="378" t="e">
        <f t="shared" si="35"/>
        <v>#N/A</v>
      </c>
      <c r="EB13" s="378" t="e">
        <f t="shared" si="35"/>
        <v>#N/A</v>
      </c>
      <c r="EC13" s="378" t="e">
        <f t="shared" si="35"/>
        <v>#N/A</v>
      </c>
      <c r="ED13" s="378" t="e">
        <f t="shared" si="35"/>
        <v>#N/A</v>
      </c>
      <c r="EE13" s="378" t="e">
        <f t="shared" si="35"/>
        <v>#N/A</v>
      </c>
      <c r="EF13" s="378" t="e">
        <f t="shared" si="35"/>
        <v>#N/A</v>
      </c>
      <c r="EG13" s="378" t="e">
        <f t="shared" si="35"/>
        <v>#N/A</v>
      </c>
      <c r="EH13" s="378" t="e">
        <f t="shared" si="35"/>
        <v>#N/A</v>
      </c>
      <c r="EI13" s="378" t="e">
        <f t="shared" si="35"/>
        <v>#N/A</v>
      </c>
      <c r="EJ13" s="354" t="e">
        <f t="shared" si="42"/>
        <v>#N/A</v>
      </c>
      <c r="EK13" s="380" t="e">
        <f t="shared" si="36"/>
        <v>#N/A</v>
      </c>
      <c r="EL13" s="380" t="e">
        <f t="shared" si="37"/>
        <v>#N/A</v>
      </c>
      <c r="EM13" s="380" t="e">
        <f t="shared" si="37"/>
        <v>#N/A</v>
      </c>
      <c r="EN13" s="380" t="e">
        <f t="shared" si="37"/>
        <v>#N/A</v>
      </c>
      <c r="EO13" s="380" t="e">
        <f t="shared" si="37"/>
        <v>#N/A</v>
      </c>
      <c r="EP13" s="380" t="e">
        <f t="shared" si="37"/>
        <v>#N/A</v>
      </c>
      <c r="EQ13" s="380" t="e">
        <f t="shared" si="37"/>
        <v>#N/A</v>
      </c>
      <c r="ER13" s="380" t="e">
        <f t="shared" si="37"/>
        <v>#N/A</v>
      </c>
      <c r="ES13" s="380" t="e">
        <f t="shared" si="37"/>
        <v>#N/A</v>
      </c>
      <c r="ET13" s="380" t="e">
        <f t="shared" si="37"/>
        <v>#N/A</v>
      </c>
      <c r="EU13" s="379" t="e">
        <f t="shared" si="43"/>
        <v>#N/A</v>
      </c>
      <c r="EV13" s="382"/>
      <c r="EW13" s="382"/>
      <c r="EX13" s="382"/>
      <c r="EY13" s="382"/>
      <c r="EZ13" s="382"/>
      <c r="FA13" s="382"/>
      <c r="FB13" s="382"/>
    </row>
    <row r="14" spans="1:163" ht="66.5" customHeight="1" x14ac:dyDescent="0.3">
      <c r="A14" s="330"/>
      <c r="B14" s="318"/>
      <c r="C14" s="318"/>
      <c r="D14" s="318"/>
      <c r="E14" s="318"/>
      <c r="F14" s="318"/>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7"/>
      <c r="AN14" s="318"/>
      <c r="AO14" s="511" t="e">
        <f t="shared" si="106"/>
        <v>#N/A</v>
      </c>
      <c r="AP14" s="511" t="e">
        <f t="shared" si="107"/>
        <v>#N/A</v>
      </c>
      <c r="AQ14" s="511" t="e">
        <f t="shared" si="108"/>
        <v>#N/A</v>
      </c>
      <c r="AR14" s="511" t="e">
        <f t="shared" si="109"/>
        <v>#N/A</v>
      </c>
      <c r="AS14" s="511" t="e">
        <f>HLOOKUP($C$1,'Inflation Adjustments'!$BI$3:$BT$4,2)*CR14</f>
        <v>#N/A</v>
      </c>
      <c r="AT14" s="511">
        <f>IF(BU14="In Service",'Maintenace Cost Assumptions'!$B$3*AS14,0)</f>
        <v>0</v>
      </c>
      <c r="AU14" s="318"/>
      <c r="AV14" s="318"/>
      <c r="AW14" s="318"/>
      <c r="AX14" s="318"/>
      <c r="AY14" s="318"/>
      <c r="AZ14" s="318"/>
      <c r="BA14" s="318"/>
      <c r="BB14" s="318"/>
      <c r="BC14" s="318"/>
      <c r="BD14" s="318"/>
      <c r="BE14" s="318"/>
      <c r="BF14" s="318"/>
      <c r="BG14" s="318"/>
      <c r="BH14" s="333"/>
      <c r="BI14" s="333"/>
      <c r="BJ14" s="333"/>
      <c r="BK14" s="333"/>
      <c r="BL14" s="333"/>
      <c r="BM14" s="333"/>
      <c r="BN14" s="333"/>
      <c r="BO14" s="333"/>
      <c r="BP14" s="333"/>
      <c r="BQ14" s="333"/>
      <c r="BR14" s="333"/>
      <c r="BS14" s="333"/>
      <c r="BT14" s="334"/>
      <c r="BU14" s="335"/>
      <c r="BV14" s="255"/>
      <c r="BY14" s="376" t="str">
        <f>'GRC and TUL Assumptions'!A14</f>
        <v>Services Water</v>
      </c>
      <c r="BZ14" s="373">
        <f>'GRC and TUL Assumptions'!C14</f>
        <v>20</v>
      </c>
      <c r="CA14" s="373">
        <f>'GRC and TUL Assumptions'!D14</f>
        <v>40</v>
      </c>
      <c r="CB14" s="373">
        <f>'GRC and TUL Assumptions'!E14</f>
        <v>70</v>
      </c>
      <c r="CC14" s="373">
        <v>0</v>
      </c>
      <c r="CD14" s="373">
        <f>'GRC and TUL Assumptions'!F14</f>
        <v>20</v>
      </c>
      <c r="CE14" s="373">
        <f>'GRC and TUL Assumptions'!G14</f>
        <v>30</v>
      </c>
      <c r="CF14" s="373">
        <f>'GRC and TUL Assumptions'!H14</f>
        <v>40</v>
      </c>
      <c r="CG14" s="373">
        <f t="shared" si="38"/>
        <v>20</v>
      </c>
      <c r="CH14" s="378" t="e">
        <f t="shared" si="11"/>
        <v>#N/A</v>
      </c>
      <c r="CI14" s="378" t="e">
        <f t="shared" si="12"/>
        <v>#N/A</v>
      </c>
      <c r="CJ14" s="378" t="e">
        <f t="shared" si="110"/>
        <v>#N/A</v>
      </c>
      <c r="CK14" s="378" t="e">
        <f t="shared" si="14"/>
        <v>#N/A</v>
      </c>
      <c r="CL14" s="378" t="e">
        <f t="shared" si="15"/>
        <v>#N/A</v>
      </c>
      <c r="CM14" s="378" t="e">
        <f t="shared" si="16"/>
        <v>#N/A</v>
      </c>
      <c r="CN14" s="378" t="e">
        <f t="shared" si="17"/>
        <v>#N/A</v>
      </c>
      <c r="CO14" s="378" t="e">
        <f t="shared" si="18"/>
        <v>#N/A</v>
      </c>
      <c r="CP14" s="378" t="e">
        <f t="shared" si="19"/>
        <v>#N/A</v>
      </c>
      <c r="CQ14" s="378" t="e">
        <f t="shared" si="20"/>
        <v>#N/A</v>
      </c>
      <c r="CR14" s="354" t="e">
        <f t="shared" si="39"/>
        <v>#N/A</v>
      </c>
      <c r="CS14" s="379" t="e">
        <f>(HLOOKUP($AI14,'Inflation Adjustments'!$B$3:$BT$4,2,TRUE))*CH14</f>
        <v>#N/A</v>
      </c>
      <c r="CT14" s="379" t="e">
        <f>(HLOOKUP($AI14,'Inflation Adjustments'!$B$3:$BT$4,2,TRUE))*CI14</f>
        <v>#N/A</v>
      </c>
      <c r="CU14" s="379" t="e">
        <f>(HLOOKUP($AI14,'Inflation Adjustments'!$B$3:$BT$4,2,TRUE))*CJ14</f>
        <v>#N/A</v>
      </c>
      <c r="CV14" s="379" t="e">
        <f>(HLOOKUP($AI14,'Inflation Adjustments'!$B$3:$BT$4,2,TRUE))*CK14</f>
        <v>#N/A</v>
      </c>
      <c r="CW14" s="379" t="e">
        <f>(HLOOKUP($AI14,'Inflation Adjustments'!$B$3:$BT$4,2,TRUE))*CL14</f>
        <v>#N/A</v>
      </c>
      <c r="CX14" s="379" t="e">
        <f>(HLOOKUP($AI14,'Inflation Adjustments'!$B$3:$BT$4,2,TRUE))*CM14</f>
        <v>#N/A</v>
      </c>
      <c r="CY14" s="379" t="e">
        <f>(HLOOKUP($AI14,'Inflation Adjustments'!$B$3:$BT$4,2,TRUE))*CN14</f>
        <v>#N/A</v>
      </c>
      <c r="CZ14" s="379" t="e">
        <f>(HLOOKUP($AI14,'Inflation Adjustments'!$B$3:$BT$4,2,TRUE))*CO14</f>
        <v>#N/A</v>
      </c>
      <c r="DA14" s="379" t="e">
        <f>(HLOOKUP($AI14,'Inflation Adjustments'!$B$3:$BT$4,2,TRUE))*CP14</f>
        <v>#N/A</v>
      </c>
      <c r="DB14" s="379" t="e">
        <f>(HLOOKUP($AI14,'Inflation Adjustments'!$B$3:$BT$4,2,TRUE))*CQ14</f>
        <v>#N/A</v>
      </c>
      <c r="DC14" s="379" t="e">
        <f t="shared" si="40"/>
        <v>#N/A</v>
      </c>
      <c r="DD14" s="354">
        <f t="shared" si="21"/>
        <v>2022</v>
      </c>
      <c r="DE14" s="378" t="e">
        <f t="shared" si="22"/>
        <v>#N/A</v>
      </c>
      <c r="DF14" s="378" t="e">
        <f t="shared" si="23"/>
        <v>#N/A</v>
      </c>
      <c r="DG14" s="378" t="e">
        <f t="shared" si="24"/>
        <v>#N/A</v>
      </c>
      <c r="DH14" s="378" t="e">
        <f t="shared" si="25"/>
        <v>#N/A</v>
      </c>
      <c r="DI14" s="378" t="e">
        <f t="shared" si="26"/>
        <v>#N/A</v>
      </c>
      <c r="DJ14" s="378" t="e">
        <f t="shared" si="27"/>
        <v>#N/A</v>
      </c>
      <c r="DK14" s="378" t="e">
        <f t="shared" si="28"/>
        <v>#N/A</v>
      </c>
      <c r="DL14" s="378" t="e">
        <f t="shared" si="29"/>
        <v>#N/A</v>
      </c>
      <c r="DM14" s="378" t="e">
        <f t="shared" si="30"/>
        <v>#N/A</v>
      </c>
      <c r="DN14" s="378" t="e">
        <f t="shared" si="31"/>
        <v>#N/A</v>
      </c>
      <c r="DO14" s="380" t="e">
        <f t="shared" si="32"/>
        <v>#N/A</v>
      </c>
      <c r="DP14" s="380" t="e">
        <f t="shared" si="33"/>
        <v>#N/A</v>
      </c>
      <c r="DQ14" s="380" t="e">
        <f t="shared" si="33"/>
        <v>#N/A</v>
      </c>
      <c r="DR14" s="380" t="e">
        <f t="shared" si="33"/>
        <v>#N/A</v>
      </c>
      <c r="DS14" s="380" t="e">
        <f t="shared" si="33"/>
        <v>#N/A</v>
      </c>
      <c r="DT14" s="380" t="e">
        <f t="shared" si="33"/>
        <v>#N/A</v>
      </c>
      <c r="DU14" s="380" t="e">
        <f t="shared" si="33"/>
        <v>#N/A</v>
      </c>
      <c r="DV14" s="380" t="e">
        <f t="shared" si="33"/>
        <v>#N/A</v>
      </c>
      <c r="DW14" s="380" t="e">
        <f t="shared" si="33"/>
        <v>#N/A</v>
      </c>
      <c r="DX14" s="380" t="e">
        <f t="shared" si="33"/>
        <v>#N/A</v>
      </c>
      <c r="DY14" s="380" t="e">
        <f t="shared" si="41"/>
        <v>#N/A</v>
      </c>
      <c r="DZ14" s="378" t="e">
        <f t="shared" si="34"/>
        <v>#N/A</v>
      </c>
      <c r="EA14" s="378" t="e">
        <f t="shared" si="35"/>
        <v>#N/A</v>
      </c>
      <c r="EB14" s="378" t="e">
        <f t="shared" si="35"/>
        <v>#N/A</v>
      </c>
      <c r="EC14" s="378" t="e">
        <f t="shared" si="35"/>
        <v>#N/A</v>
      </c>
      <c r="ED14" s="378" t="e">
        <f t="shared" si="35"/>
        <v>#N/A</v>
      </c>
      <c r="EE14" s="378" t="e">
        <f t="shared" si="35"/>
        <v>#N/A</v>
      </c>
      <c r="EF14" s="378" t="e">
        <f t="shared" si="35"/>
        <v>#N/A</v>
      </c>
      <c r="EG14" s="378" t="e">
        <f t="shared" si="35"/>
        <v>#N/A</v>
      </c>
      <c r="EH14" s="378" t="e">
        <f t="shared" si="35"/>
        <v>#N/A</v>
      </c>
      <c r="EI14" s="378" t="e">
        <f t="shared" si="35"/>
        <v>#N/A</v>
      </c>
      <c r="EJ14" s="354" t="e">
        <f t="shared" si="42"/>
        <v>#N/A</v>
      </c>
      <c r="EK14" s="380" t="e">
        <f t="shared" si="36"/>
        <v>#N/A</v>
      </c>
      <c r="EL14" s="380" t="e">
        <f t="shared" si="37"/>
        <v>#N/A</v>
      </c>
      <c r="EM14" s="380" t="e">
        <f t="shared" si="37"/>
        <v>#N/A</v>
      </c>
      <c r="EN14" s="380" t="e">
        <f t="shared" si="37"/>
        <v>#N/A</v>
      </c>
      <c r="EO14" s="380" t="e">
        <f t="shared" si="37"/>
        <v>#N/A</v>
      </c>
      <c r="EP14" s="380" t="e">
        <f t="shared" si="37"/>
        <v>#N/A</v>
      </c>
      <c r="EQ14" s="380" t="e">
        <f t="shared" si="37"/>
        <v>#N/A</v>
      </c>
      <c r="ER14" s="380" t="e">
        <f t="shared" si="37"/>
        <v>#N/A</v>
      </c>
      <c r="ES14" s="380" t="e">
        <f t="shared" si="37"/>
        <v>#N/A</v>
      </c>
      <c r="ET14" s="380" t="e">
        <f t="shared" si="37"/>
        <v>#N/A</v>
      </c>
      <c r="EU14" s="379" t="e">
        <f t="shared" si="43"/>
        <v>#N/A</v>
      </c>
      <c r="EV14" s="382"/>
      <c r="EW14" s="382"/>
      <c r="EX14" s="382"/>
      <c r="EY14" s="382"/>
      <c r="EZ14" s="382"/>
      <c r="FA14" s="382"/>
      <c r="FB14" s="382"/>
    </row>
    <row r="15" spans="1:163" ht="56.5" customHeight="1" x14ac:dyDescent="0.3">
      <c r="A15" s="416"/>
      <c r="B15" s="417"/>
      <c r="C15" s="417"/>
      <c r="D15" s="417"/>
      <c r="E15" s="417"/>
      <c r="F15" s="417"/>
      <c r="G15" s="417"/>
      <c r="H15" s="417"/>
      <c r="I15" s="417"/>
      <c r="J15" s="417"/>
      <c r="K15" s="417"/>
      <c r="L15" s="417"/>
      <c r="M15" s="417"/>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417"/>
      <c r="AL15" s="417"/>
      <c r="AM15" s="418"/>
      <c r="AN15" s="417"/>
      <c r="AO15" s="418"/>
      <c r="AP15" s="418"/>
      <c r="AQ15" s="418"/>
      <c r="AR15" s="418"/>
      <c r="AS15" s="419"/>
      <c r="AT15" s="420"/>
      <c r="AU15" s="417"/>
      <c r="AV15" s="417"/>
      <c r="AW15" s="417"/>
      <c r="AX15" s="417"/>
      <c r="AY15" s="417"/>
      <c r="AZ15" s="417"/>
      <c r="BA15" s="417"/>
      <c r="BB15" s="417"/>
      <c r="BC15" s="417"/>
      <c r="BD15" s="417"/>
      <c r="BE15" s="417"/>
      <c r="BF15" s="417"/>
      <c r="BG15" s="421"/>
      <c r="BH15" s="422"/>
      <c r="BI15" s="422"/>
      <c r="BJ15" s="422"/>
      <c r="BK15" s="422"/>
      <c r="BL15" s="422"/>
      <c r="BM15" s="422"/>
      <c r="BN15" s="422"/>
      <c r="BO15" s="422"/>
      <c r="BP15" s="422"/>
      <c r="BQ15" s="422"/>
      <c r="BR15" s="422"/>
      <c r="BS15" s="422"/>
      <c r="BT15" s="423"/>
      <c r="BU15" s="424"/>
      <c r="BV15" s="255"/>
      <c r="CD15" s="365"/>
      <c r="CH15" s="425" t="e">
        <f t="shared" si="11"/>
        <v>#N/A</v>
      </c>
      <c r="CI15" s="425" t="e">
        <f t="shared" si="12"/>
        <v>#N/A</v>
      </c>
      <c r="CJ15" s="425" t="e">
        <f t="shared" si="110"/>
        <v>#N/A</v>
      </c>
      <c r="CK15" s="425" t="e">
        <f t="shared" si="14"/>
        <v>#N/A</v>
      </c>
      <c r="CL15" s="425" t="e">
        <f t="shared" si="15"/>
        <v>#N/A</v>
      </c>
      <c r="CM15" s="425" t="e">
        <f t="shared" si="16"/>
        <v>#N/A</v>
      </c>
      <c r="CN15" s="425" t="e">
        <f t="shared" si="17"/>
        <v>#N/A</v>
      </c>
      <c r="CO15" s="425" t="e">
        <f t="shared" si="18"/>
        <v>#N/A</v>
      </c>
      <c r="CP15" s="425" t="e">
        <f t="shared" si="19"/>
        <v>#N/A</v>
      </c>
      <c r="CQ15" s="425" t="e">
        <f t="shared" si="20"/>
        <v>#N/A</v>
      </c>
      <c r="CR15" s="384" t="e">
        <f t="shared" si="39"/>
        <v>#N/A</v>
      </c>
      <c r="CS15" s="384" t="e">
        <f>(HLOOKUP($AI15,'Inflation Adjustments'!$B$3:$BT$4,2,TRUE))*CH15</f>
        <v>#N/A</v>
      </c>
      <c r="CT15" s="384" t="e">
        <f>(HLOOKUP($AI15,'Inflation Adjustments'!$B$3:$BT$4,2,TRUE))*CI15</f>
        <v>#N/A</v>
      </c>
      <c r="CU15" s="384" t="e">
        <f>(HLOOKUP($AI15,'Inflation Adjustments'!$B$3:$BT$4,2,TRUE))*CJ15</f>
        <v>#N/A</v>
      </c>
      <c r="CV15" s="384" t="e">
        <f>(HLOOKUP($AI15,'Inflation Adjustments'!$B$3:$BT$4,2,TRUE))*CK15</f>
        <v>#N/A</v>
      </c>
      <c r="CW15" s="384" t="e">
        <f>(HLOOKUP($AI15,'Inflation Adjustments'!$B$3:$BT$4,2,TRUE))*CL15</f>
        <v>#N/A</v>
      </c>
      <c r="CX15" s="384" t="e">
        <f>(HLOOKUP($AI15,'Inflation Adjustments'!$B$3:$BT$4,2,TRUE))*CM15</f>
        <v>#N/A</v>
      </c>
      <c r="CY15" s="384" t="e">
        <f>(HLOOKUP($AI15,'Inflation Adjustments'!$B$3:$BT$4,2,TRUE))*CN15</f>
        <v>#N/A</v>
      </c>
      <c r="CZ15" s="384" t="e">
        <f>(HLOOKUP($AI15,'Inflation Adjustments'!$B$3:$BT$4,2,TRUE))*CO15</f>
        <v>#N/A</v>
      </c>
      <c r="DA15" s="384" t="e">
        <f>(HLOOKUP($AI15,'Inflation Adjustments'!$B$3:$BT$4,2,TRUE))*CP15</f>
        <v>#N/A</v>
      </c>
      <c r="DB15" s="384" t="e">
        <f>(HLOOKUP($AI15,'Inflation Adjustments'!$B$3:$BT$4,2,TRUE))*CQ15</f>
        <v>#N/A</v>
      </c>
      <c r="DC15" s="384" t="e">
        <f t="shared" si="40"/>
        <v>#N/A</v>
      </c>
      <c r="DD15" s="384">
        <f t="shared" si="21"/>
        <v>2022</v>
      </c>
      <c r="DE15" s="425" t="e">
        <f t="shared" si="22"/>
        <v>#N/A</v>
      </c>
      <c r="DF15" s="425" t="e">
        <f t="shared" si="23"/>
        <v>#N/A</v>
      </c>
      <c r="DG15" s="425" t="e">
        <f t="shared" si="24"/>
        <v>#N/A</v>
      </c>
      <c r="DH15" s="425" t="e">
        <f t="shared" si="25"/>
        <v>#N/A</v>
      </c>
      <c r="DI15" s="425" t="e">
        <f t="shared" si="26"/>
        <v>#N/A</v>
      </c>
      <c r="DJ15" s="425" t="e">
        <f t="shared" si="27"/>
        <v>#N/A</v>
      </c>
      <c r="DK15" s="425" t="e">
        <f t="shared" si="28"/>
        <v>#N/A</v>
      </c>
      <c r="DL15" s="425" t="e">
        <f t="shared" si="29"/>
        <v>#N/A</v>
      </c>
      <c r="DM15" s="425" t="e">
        <f t="shared" si="30"/>
        <v>#N/A</v>
      </c>
      <c r="DN15" s="425" t="e">
        <f t="shared" si="31"/>
        <v>#N/A</v>
      </c>
      <c r="DO15" s="425" t="e">
        <f t="shared" si="32"/>
        <v>#N/A</v>
      </c>
      <c r="DP15" s="425" t="e">
        <f t="shared" si="33"/>
        <v>#N/A</v>
      </c>
      <c r="DQ15" s="425" t="e">
        <f t="shared" si="33"/>
        <v>#N/A</v>
      </c>
      <c r="DR15" s="425" t="e">
        <f t="shared" si="33"/>
        <v>#N/A</v>
      </c>
      <c r="DS15" s="425" t="e">
        <f t="shared" si="33"/>
        <v>#N/A</v>
      </c>
      <c r="DT15" s="425" t="e">
        <f t="shared" si="33"/>
        <v>#N/A</v>
      </c>
      <c r="DU15" s="425" t="e">
        <f t="shared" si="33"/>
        <v>#N/A</v>
      </c>
      <c r="DV15" s="425" t="e">
        <f t="shared" si="33"/>
        <v>#N/A</v>
      </c>
      <c r="DW15" s="425" t="e">
        <f t="shared" si="33"/>
        <v>#N/A</v>
      </c>
      <c r="DX15" s="425" t="e">
        <f t="shared" si="33"/>
        <v>#N/A</v>
      </c>
      <c r="DY15" s="425" t="e">
        <f t="shared" si="41"/>
        <v>#N/A</v>
      </c>
      <c r="DZ15" s="425" t="e">
        <f t="shared" si="34"/>
        <v>#N/A</v>
      </c>
      <c r="EA15" s="425" t="e">
        <f t="shared" si="35"/>
        <v>#N/A</v>
      </c>
      <c r="EB15" s="425" t="e">
        <f t="shared" si="35"/>
        <v>#N/A</v>
      </c>
      <c r="EC15" s="425" t="e">
        <f t="shared" si="35"/>
        <v>#N/A</v>
      </c>
      <c r="ED15" s="425" t="e">
        <f t="shared" si="35"/>
        <v>#N/A</v>
      </c>
      <c r="EE15" s="425" t="e">
        <f t="shared" si="35"/>
        <v>#N/A</v>
      </c>
      <c r="EF15" s="425" t="e">
        <f t="shared" si="35"/>
        <v>#N/A</v>
      </c>
      <c r="EG15" s="425" t="e">
        <f t="shared" si="35"/>
        <v>#N/A</v>
      </c>
      <c r="EH15" s="425" t="e">
        <f t="shared" si="35"/>
        <v>#N/A</v>
      </c>
      <c r="EI15" s="425" t="e">
        <f t="shared" si="35"/>
        <v>#N/A</v>
      </c>
      <c r="EJ15" s="384" t="e">
        <f t="shared" si="42"/>
        <v>#N/A</v>
      </c>
      <c r="EK15" s="425" t="e">
        <f t="shared" si="36"/>
        <v>#N/A</v>
      </c>
      <c r="EL15" s="425" t="e">
        <f t="shared" si="37"/>
        <v>#N/A</v>
      </c>
      <c r="EM15" s="425" t="e">
        <f t="shared" si="37"/>
        <v>#N/A</v>
      </c>
      <c r="EN15" s="425" t="e">
        <f t="shared" si="37"/>
        <v>#N/A</v>
      </c>
      <c r="EO15" s="425" t="e">
        <f t="shared" si="37"/>
        <v>#N/A</v>
      </c>
      <c r="EP15" s="425" t="e">
        <f t="shared" si="37"/>
        <v>#N/A</v>
      </c>
      <c r="EQ15" s="425" t="e">
        <f t="shared" si="37"/>
        <v>#N/A</v>
      </c>
      <c r="ER15" s="425" t="e">
        <f t="shared" si="37"/>
        <v>#N/A</v>
      </c>
      <c r="ES15" s="425" t="e">
        <f t="shared" si="37"/>
        <v>#N/A</v>
      </c>
      <c r="ET15" s="425" t="e">
        <f t="shared" si="37"/>
        <v>#N/A</v>
      </c>
      <c r="EU15" s="384" t="e">
        <f t="shared" si="43"/>
        <v>#N/A</v>
      </c>
      <c r="EV15" s="426"/>
      <c r="EW15" s="426"/>
      <c r="EX15" s="426"/>
      <c r="EY15" s="426"/>
      <c r="EZ15" s="426"/>
      <c r="FA15" s="426"/>
      <c r="FB15" s="426"/>
    </row>
    <row r="16" spans="1:163" ht="41.5" customHeight="1" x14ac:dyDescent="0.3">
      <c r="A16" s="416"/>
      <c r="B16" s="417"/>
      <c r="C16" s="417"/>
      <c r="D16" s="417"/>
      <c r="E16" s="417"/>
      <c r="F16" s="417"/>
      <c r="G16" s="417"/>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8"/>
      <c r="AN16" s="417"/>
      <c r="AO16" s="418"/>
      <c r="AP16" s="418"/>
      <c r="AQ16" s="418"/>
      <c r="AR16" s="418"/>
      <c r="AS16" s="419"/>
      <c r="AT16" s="420"/>
      <c r="AU16" s="417"/>
      <c r="AV16" s="417"/>
      <c r="AW16" s="417"/>
      <c r="AX16" s="417"/>
      <c r="AY16" s="417"/>
      <c r="AZ16" s="417"/>
      <c r="BA16" s="417"/>
      <c r="BB16" s="417"/>
      <c r="BC16" s="417"/>
      <c r="BD16" s="417"/>
      <c r="BE16" s="417"/>
      <c r="BF16" s="417"/>
      <c r="BG16" s="421"/>
      <c r="BH16" s="422"/>
      <c r="BI16" s="422"/>
      <c r="BJ16" s="422"/>
      <c r="BK16" s="422"/>
      <c r="BL16" s="422"/>
      <c r="BM16" s="422"/>
      <c r="BN16" s="422"/>
      <c r="BO16" s="422"/>
      <c r="BP16" s="422"/>
      <c r="BQ16" s="422"/>
      <c r="BR16" s="422"/>
      <c r="BS16" s="422"/>
      <c r="BT16" s="423"/>
      <c r="BU16" s="424"/>
      <c r="BV16" s="255"/>
      <c r="CH16" s="425" t="e">
        <f t="shared" si="11"/>
        <v>#N/A</v>
      </c>
      <c r="CI16" s="425" t="e">
        <f t="shared" si="12"/>
        <v>#N/A</v>
      </c>
      <c r="CJ16" s="425" t="e">
        <f t="shared" si="110"/>
        <v>#N/A</v>
      </c>
      <c r="CK16" s="425" t="e">
        <f t="shared" si="14"/>
        <v>#N/A</v>
      </c>
      <c r="CL16" s="425" t="e">
        <f t="shared" si="15"/>
        <v>#N/A</v>
      </c>
      <c r="CM16" s="425" t="e">
        <f t="shared" si="16"/>
        <v>#N/A</v>
      </c>
      <c r="CN16" s="425" t="e">
        <f t="shared" si="17"/>
        <v>#N/A</v>
      </c>
      <c r="CO16" s="425" t="e">
        <f t="shared" si="18"/>
        <v>#N/A</v>
      </c>
      <c r="CP16" s="425" t="e">
        <f t="shared" si="19"/>
        <v>#N/A</v>
      </c>
      <c r="CQ16" s="425" t="e">
        <f t="shared" si="20"/>
        <v>#N/A</v>
      </c>
      <c r="CR16" s="384" t="e">
        <f t="shared" si="39"/>
        <v>#N/A</v>
      </c>
      <c r="CS16" s="384" t="e">
        <f>(HLOOKUP($AI16,'Inflation Adjustments'!$B$3:$BT$4,2,TRUE))*CH16</f>
        <v>#N/A</v>
      </c>
      <c r="CT16" s="384" t="e">
        <f>(HLOOKUP($AI16,'Inflation Adjustments'!$B$3:$BT$4,2,TRUE))*CI16</f>
        <v>#N/A</v>
      </c>
      <c r="CU16" s="384" t="e">
        <f>(HLOOKUP($AI16,'Inflation Adjustments'!$B$3:$BT$4,2,TRUE))*CJ16</f>
        <v>#N/A</v>
      </c>
      <c r="CV16" s="384" t="e">
        <f>(HLOOKUP($AI16,'Inflation Adjustments'!$B$3:$BT$4,2,TRUE))*CK16</f>
        <v>#N/A</v>
      </c>
      <c r="CW16" s="384" t="e">
        <f>(HLOOKUP($AI16,'Inflation Adjustments'!$B$3:$BT$4,2,TRUE))*CL16</f>
        <v>#N/A</v>
      </c>
      <c r="CX16" s="384" t="e">
        <f>(HLOOKUP($AI16,'Inflation Adjustments'!$B$3:$BT$4,2,TRUE))*CM16</f>
        <v>#N/A</v>
      </c>
      <c r="CY16" s="384" t="e">
        <f>(HLOOKUP($AI16,'Inflation Adjustments'!$B$3:$BT$4,2,TRUE))*CN16</f>
        <v>#N/A</v>
      </c>
      <c r="CZ16" s="384" t="e">
        <f>(HLOOKUP($AI16,'Inflation Adjustments'!$B$3:$BT$4,2,TRUE))*CO16</f>
        <v>#N/A</v>
      </c>
      <c r="DA16" s="384" t="e">
        <f>(HLOOKUP($AI16,'Inflation Adjustments'!$B$3:$BT$4,2,TRUE))*CP16</f>
        <v>#N/A</v>
      </c>
      <c r="DB16" s="384" t="e">
        <f>(HLOOKUP($AI16,'Inflation Adjustments'!$B$3:$BT$4,2,TRUE))*CQ16</f>
        <v>#N/A</v>
      </c>
      <c r="DC16" s="384" t="e">
        <f t="shared" si="40"/>
        <v>#N/A</v>
      </c>
      <c r="DD16" s="384">
        <f t="shared" si="21"/>
        <v>2022</v>
      </c>
      <c r="DE16" s="425" t="e">
        <f t="shared" si="22"/>
        <v>#N/A</v>
      </c>
      <c r="DF16" s="425" t="e">
        <f t="shared" si="23"/>
        <v>#N/A</v>
      </c>
      <c r="DG16" s="425" t="e">
        <f t="shared" si="24"/>
        <v>#N/A</v>
      </c>
      <c r="DH16" s="425" t="e">
        <f t="shared" si="25"/>
        <v>#N/A</v>
      </c>
      <c r="DI16" s="425" t="e">
        <f t="shared" si="26"/>
        <v>#N/A</v>
      </c>
      <c r="DJ16" s="425" t="e">
        <f t="shared" si="27"/>
        <v>#N/A</v>
      </c>
      <c r="DK16" s="425" t="e">
        <f t="shared" si="28"/>
        <v>#N/A</v>
      </c>
      <c r="DL16" s="425" t="e">
        <f t="shared" si="29"/>
        <v>#N/A</v>
      </c>
      <c r="DM16" s="425" t="e">
        <f t="shared" si="30"/>
        <v>#N/A</v>
      </c>
      <c r="DN16" s="425" t="e">
        <f t="shared" si="31"/>
        <v>#N/A</v>
      </c>
      <c r="DO16" s="425" t="e">
        <f t="shared" si="32"/>
        <v>#N/A</v>
      </c>
      <c r="DP16" s="425" t="e">
        <f t="shared" si="33"/>
        <v>#N/A</v>
      </c>
      <c r="DQ16" s="425" t="e">
        <f t="shared" si="33"/>
        <v>#N/A</v>
      </c>
      <c r="DR16" s="425" t="e">
        <f t="shared" si="33"/>
        <v>#N/A</v>
      </c>
      <c r="DS16" s="425" t="e">
        <f t="shared" si="33"/>
        <v>#N/A</v>
      </c>
      <c r="DT16" s="425" t="e">
        <f t="shared" si="33"/>
        <v>#N/A</v>
      </c>
      <c r="DU16" s="425" t="e">
        <f t="shared" si="33"/>
        <v>#N/A</v>
      </c>
      <c r="DV16" s="425" t="e">
        <f t="shared" si="33"/>
        <v>#N/A</v>
      </c>
      <c r="DW16" s="425" t="e">
        <f t="shared" si="33"/>
        <v>#N/A</v>
      </c>
      <c r="DX16" s="425" t="e">
        <f t="shared" si="33"/>
        <v>#N/A</v>
      </c>
      <c r="DY16" s="425" t="e">
        <f t="shared" si="41"/>
        <v>#N/A</v>
      </c>
      <c r="DZ16" s="425" t="e">
        <f t="shared" si="34"/>
        <v>#N/A</v>
      </c>
      <c r="EA16" s="425" t="e">
        <f t="shared" si="35"/>
        <v>#N/A</v>
      </c>
      <c r="EB16" s="425" t="e">
        <f t="shared" si="35"/>
        <v>#N/A</v>
      </c>
      <c r="EC16" s="425" t="e">
        <f t="shared" si="35"/>
        <v>#N/A</v>
      </c>
      <c r="ED16" s="425" t="e">
        <f t="shared" si="35"/>
        <v>#N/A</v>
      </c>
      <c r="EE16" s="425" t="e">
        <f t="shared" si="35"/>
        <v>#N/A</v>
      </c>
      <c r="EF16" s="425" t="e">
        <f t="shared" si="35"/>
        <v>#N/A</v>
      </c>
      <c r="EG16" s="425" t="e">
        <f t="shared" si="35"/>
        <v>#N/A</v>
      </c>
      <c r="EH16" s="425" t="e">
        <f t="shared" si="35"/>
        <v>#N/A</v>
      </c>
      <c r="EI16" s="425" t="e">
        <f t="shared" si="35"/>
        <v>#N/A</v>
      </c>
      <c r="EJ16" s="384" t="e">
        <f t="shared" si="42"/>
        <v>#N/A</v>
      </c>
      <c r="EK16" s="425" t="e">
        <f t="shared" si="36"/>
        <v>#N/A</v>
      </c>
      <c r="EL16" s="425" t="e">
        <f t="shared" si="37"/>
        <v>#N/A</v>
      </c>
      <c r="EM16" s="425" t="e">
        <f t="shared" si="37"/>
        <v>#N/A</v>
      </c>
      <c r="EN16" s="425" t="e">
        <f t="shared" si="37"/>
        <v>#N/A</v>
      </c>
      <c r="EO16" s="425" t="e">
        <f t="shared" si="37"/>
        <v>#N/A</v>
      </c>
      <c r="EP16" s="425" t="e">
        <f t="shared" si="37"/>
        <v>#N/A</v>
      </c>
      <c r="EQ16" s="425" t="e">
        <f t="shared" si="37"/>
        <v>#N/A</v>
      </c>
      <c r="ER16" s="425" t="e">
        <f t="shared" si="37"/>
        <v>#N/A</v>
      </c>
      <c r="ES16" s="425" t="e">
        <f t="shared" si="37"/>
        <v>#N/A</v>
      </c>
      <c r="ET16" s="425" t="e">
        <f t="shared" si="37"/>
        <v>#N/A</v>
      </c>
      <c r="EU16" s="384" t="e">
        <f t="shared" si="43"/>
        <v>#N/A</v>
      </c>
      <c r="EV16" s="426"/>
      <c r="EW16" s="426"/>
      <c r="EX16" s="426"/>
      <c r="EY16" s="426"/>
      <c r="EZ16" s="426"/>
      <c r="FA16" s="426"/>
      <c r="FB16" s="426"/>
    </row>
    <row r="17" spans="1:158" ht="41.5" customHeight="1" x14ac:dyDescent="0.3">
      <c r="A17" s="416"/>
      <c r="B17" s="417"/>
      <c r="C17" s="417"/>
      <c r="D17" s="417"/>
      <c r="E17" s="417"/>
      <c r="F17" s="417"/>
      <c r="G17" s="417"/>
      <c r="H17" s="417"/>
      <c r="I17" s="417"/>
      <c r="J17" s="417"/>
      <c r="K17" s="417"/>
      <c r="L17" s="417"/>
      <c r="M17" s="417"/>
      <c r="N17" s="417"/>
      <c r="O17" s="417"/>
      <c r="P17" s="417"/>
      <c r="Q17" s="417"/>
      <c r="R17" s="417"/>
      <c r="S17" s="417"/>
      <c r="T17" s="417"/>
      <c r="U17" s="417"/>
      <c r="V17" s="417"/>
      <c r="W17" s="417"/>
      <c r="X17" s="417"/>
      <c r="Y17" s="417"/>
      <c r="Z17" s="417"/>
      <c r="AA17" s="417"/>
      <c r="AB17" s="417"/>
      <c r="AC17" s="417"/>
      <c r="AD17" s="417"/>
      <c r="AE17" s="417"/>
      <c r="AF17" s="417"/>
      <c r="AG17" s="417"/>
      <c r="AH17" s="417"/>
      <c r="AI17" s="417"/>
      <c r="AJ17" s="417"/>
      <c r="AK17" s="417"/>
      <c r="AL17" s="417"/>
      <c r="AM17" s="418"/>
      <c r="AN17" s="417"/>
      <c r="AO17" s="418"/>
      <c r="AP17" s="418"/>
      <c r="AQ17" s="418"/>
      <c r="AR17" s="418"/>
      <c r="AS17" s="419"/>
      <c r="AT17" s="420"/>
      <c r="AU17" s="417"/>
      <c r="AV17" s="417"/>
      <c r="AW17" s="417"/>
      <c r="AX17" s="417"/>
      <c r="AY17" s="417"/>
      <c r="AZ17" s="417"/>
      <c r="BA17" s="417"/>
      <c r="BB17" s="417"/>
      <c r="BC17" s="417"/>
      <c r="BD17" s="417"/>
      <c r="BE17" s="417"/>
      <c r="BF17" s="417"/>
      <c r="BG17" s="421"/>
      <c r="BH17" s="422"/>
      <c r="BI17" s="422"/>
      <c r="BJ17" s="422"/>
      <c r="BK17" s="422"/>
      <c r="BL17" s="422"/>
      <c r="BM17" s="422"/>
      <c r="BN17" s="422"/>
      <c r="BO17" s="422"/>
      <c r="BP17" s="422"/>
      <c r="BQ17" s="422"/>
      <c r="BR17" s="422"/>
      <c r="BS17" s="422"/>
      <c r="BT17" s="423"/>
      <c r="BU17" s="424"/>
      <c r="BV17" s="255"/>
      <c r="CH17" s="425" t="e">
        <f t="shared" si="11"/>
        <v>#N/A</v>
      </c>
      <c r="CI17" s="425" t="e">
        <f t="shared" si="12"/>
        <v>#N/A</v>
      </c>
      <c r="CJ17" s="425" t="e">
        <f t="shared" si="110"/>
        <v>#N/A</v>
      </c>
      <c r="CK17" s="425" t="e">
        <f t="shared" si="14"/>
        <v>#N/A</v>
      </c>
      <c r="CL17" s="425" t="e">
        <f t="shared" si="15"/>
        <v>#N/A</v>
      </c>
      <c r="CM17" s="425" t="e">
        <f t="shared" si="16"/>
        <v>#N/A</v>
      </c>
      <c r="CN17" s="425" t="e">
        <f t="shared" si="17"/>
        <v>#N/A</v>
      </c>
      <c r="CO17" s="425" t="e">
        <f t="shared" si="18"/>
        <v>#N/A</v>
      </c>
      <c r="CP17" s="425" t="e">
        <f t="shared" si="19"/>
        <v>#N/A</v>
      </c>
      <c r="CQ17" s="425" t="e">
        <f t="shared" si="20"/>
        <v>#N/A</v>
      </c>
      <c r="CR17" s="384" t="e">
        <f t="shared" si="39"/>
        <v>#N/A</v>
      </c>
      <c r="CS17" s="384" t="e">
        <f>(HLOOKUP($AI17,'Inflation Adjustments'!$B$3:$BT$4,2,TRUE))*CH17</f>
        <v>#N/A</v>
      </c>
      <c r="CT17" s="384" t="e">
        <f>(HLOOKUP($AI17,'Inflation Adjustments'!$B$3:$BT$4,2,TRUE))*CI17</f>
        <v>#N/A</v>
      </c>
      <c r="CU17" s="384" t="e">
        <f>(HLOOKUP($AI17,'Inflation Adjustments'!$B$3:$BT$4,2,TRUE))*CJ17</f>
        <v>#N/A</v>
      </c>
      <c r="CV17" s="384" t="e">
        <f>(HLOOKUP($AI17,'Inflation Adjustments'!$B$3:$BT$4,2,TRUE))*CK17</f>
        <v>#N/A</v>
      </c>
      <c r="CW17" s="384" t="e">
        <f>(HLOOKUP($AI17,'Inflation Adjustments'!$B$3:$BT$4,2,TRUE))*CL17</f>
        <v>#N/A</v>
      </c>
      <c r="CX17" s="384" t="e">
        <f>(HLOOKUP($AI17,'Inflation Adjustments'!$B$3:$BT$4,2,TRUE))*CM17</f>
        <v>#N/A</v>
      </c>
      <c r="CY17" s="384" t="e">
        <f>(HLOOKUP($AI17,'Inflation Adjustments'!$B$3:$BT$4,2,TRUE))*CN17</f>
        <v>#N/A</v>
      </c>
      <c r="CZ17" s="384" t="e">
        <f>(HLOOKUP($AI17,'Inflation Adjustments'!$B$3:$BT$4,2,TRUE))*CO17</f>
        <v>#N/A</v>
      </c>
      <c r="DA17" s="384" t="e">
        <f>(HLOOKUP($AI17,'Inflation Adjustments'!$B$3:$BT$4,2,TRUE))*CP17</f>
        <v>#N/A</v>
      </c>
      <c r="DB17" s="384" t="e">
        <f>(HLOOKUP($AI17,'Inflation Adjustments'!$B$3:$BT$4,2,TRUE))*CQ17</f>
        <v>#N/A</v>
      </c>
      <c r="DC17" s="384" t="e">
        <f t="shared" si="40"/>
        <v>#N/A</v>
      </c>
      <c r="DD17" s="384">
        <f t="shared" si="21"/>
        <v>2022</v>
      </c>
      <c r="DE17" s="425" t="e">
        <f t="shared" si="22"/>
        <v>#N/A</v>
      </c>
      <c r="DF17" s="425" t="e">
        <f t="shared" si="23"/>
        <v>#N/A</v>
      </c>
      <c r="DG17" s="425" t="e">
        <f t="shared" si="24"/>
        <v>#N/A</v>
      </c>
      <c r="DH17" s="425" t="e">
        <f t="shared" si="25"/>
        <v>#N/A</v>
      </c>
      <c r="DI17" s="425" t="e">
        <f t="shared" si="26"/>
        <v>#N/A</v>
      </c>
      <c r="DJ17" s="425" t="e">
        <f t="shared" si="27"/>
        <v>#N/A</v>
      </c>
      <c r="DK17" s="425" t="e">
        <f t="shared" si="28"/>
        <v>#N/A</v>
      </c>
      <c r="DL17" s="425" t="e">
        <f t="shared" si="29"/>
        <v>#N/A</v>
      </c>
      <c r="DM17" s="425" t="e">
        <f t="shared" si="30"/>
        <v>#N/A</v>
      </c>
      <c r="DN17" s="425" t="e">
        <f t="shared" si="31"/>
        <v>#N/A</v>
      </c>
      <c r="DO17" s="425" t="e">
        <f t="shared" si="32"/>
        <v>#N/A</v>
      </c>
      <c r="DP17" s="425" t="e">
        <f t="shared" ref="DP17:DX18" si="111">CT17/DF17</f>
        <v>#N/A</v>
      </c>
      <c r="DQ17" s="425" t="e">
        <f t="shared" si="111"/>
        <v>#N/A</v>
      </c>
      <c r="DR17" s="425" t="e">
        <f t="shared" si="111"/>
        <v>#N/A</v>
      </c>
      <c r="DS17" s="425" t="e">
        <f t="shared" si="111"/>
        <v>#N/A</v>
      </c>
      <c r="DT17" s="425" t="e">
        <f t="shared" si="111"/>
        <v>#N/A</v>
      </c>
      <c r="DU17" s="425" t="e">
        <f t="shared" si="111"/>
        <v>#N/A</v>
      </c>
      <c r="DV17" s="425" t="e">
        <f t="shared" si="111"/>
        <v>#N/A</v>
      </c>
      <c r="DW17" s="425" t="e">
        <f t="shared" si="111"/>
        <v>#N/A</v>
      </c>
      <c r="DX17" s="425" t="e">
        <f t="shared" si="111"/>
        <v>#N/A</v>
      </c>
      <c r="DY17" s="425" t="e">
        <f t="shared" si="41"/>
        <v>#N/A</v>
      </c>
      <c r="DZ17" s="425" t="e">
        <f t="shared" si="34"/>
        <v>#N/A</v>
      </c>
      <c r="EA17" s="425" t="e">
        <f t="shared" ref="EA17:EI18" si="112">IF(DP17*$DD17&gt;CT17,CT17,DP17*$DD17)</f>
        <v>#N/A</v>
      </c>
      <c r="EB17" s="425" t="e">
        <f t="shared" si="112"/>
        <v>#N/A</v>
      </c>
      <c r="EC17" s="425" t="e">
        <f t="shared" si="112"/>
        <v>#N/A</v>
      </c>
      <c r="ED17" s="425" t="e">
        <f t="shared" si="112"/>
        <v>#N/A</v>
      </c>
      <c r="EE17" s="425" t="e">
        <f t="shared" si="112"/>
        <v>#N/A</v>
      </c>
      <c r="EF17" s="425" t="e">
        <f t="shared" si="112"/>
        <v>#N/A</v>
      </c>
      <c r="EG17" s="425" t="e">
        <f t="shared" si="112"/>
        <v>#N/A</v>
      </c>
      <c r="EH17" s="425" t="e">
        <f t="shared" si="112"/>
        <v>#N/A</v>
      </c>
      <c r="EI17" s="425" t="e">
        <f t="shared" si="112"/>
        <v>#N/A</v>
      </c>
      <c r="EJ17" s="384" t="e">
        <f t="shared" si="42"/>
        <v>#N/A</v>
      </c>
      <c r="EK17" s="425" t="e">
        <f t="shared" si="36"/>
        <v>#N/A</v>
      </c>
      <c r="EL17" s="425" t="e">
        <f t="shared" ref="EL17:ET18" si="113">IF(DP17&lt;(CT17-EA17),DP17,(CT17-EA17))</f>
        <v>#N/A</v>
      </c>
      <c r="EM17" s="425" t="e">
        <f t="shared" si="113"/>
        <v>#N/A</v>
      </c>
      <c r="EN17" s="425" t="e">
        <f t="shared" si="113"/>
        <v>#N/A</v>
      </c>
      <c r="EO17" s="425" t="e">
        <f t="shared" si="113"/>
        <v>#N/A</v>
      </c>
      <c r="EP17" s="425" t="e">
        <f t="shared" si="113"/>
        <v>#N/A</v>
      </c>
      <c r="EQ17" s="425" t="e">
        <f t="shared" si="113"/>
        <v>#N/A</v>
      </c>
      <c r="ER17" s="425" t="e">
        <f t="shared" si="113"/>
        <v>#N/A</v>
      </c>
      <c r="ES17" s="425" t="e">
        <f t="shared" si="113"/>
        <v>#N/A</v>
      </c>
      <c r="ET17" s="425" t="e">
        <f t="shared" si="113"/>
        <v>#N/A</v>
      </c>
      <c r="EU17" s="384" t="e">
        <f t="shared" si="43"/>
        <v>#N/A</v>
      </c>
      <c r="EV17" s="426"/>
      <c r="EW17" s="426"/>
      <c r="EX17" s="426"/>
      <c r="EY17" s="426"/>
      <c r="EZ17" s="426"/>
      <c r="FA17" s="426"/>
      <c r="FB17" s="426"/>
    </row>
    <row r="18" spans="1:158" ht="41.5" customHeight="1" x14ac:dyDescent="0.3">
      <c r="A18" s="416"/>
      <c r="B18" s="417"/>
      <c r="C18" s="417"/>
      <c r="D18" s="417"/>
      <c r="E18" s="417"/>
      <c r="F18" s="417"/>
      <c r="G18" s="417"/>
      <c r="H18" s="417"/>
      <c r="I18" s="417"/>
      <c r="J18" s="417"/>
      <c r="K18" s="417"/>
      <c r="L18" s="417"/>
      <c r="M18" s="417"/>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7"/>
      <c r="AL18" s="417"/>
      <c r="AM18" s="418"/>
      <c r="AN18" s="417"/>
      <c r="AO18" s="418"/>
      <c r="AP18" s="418"/>
      <c r="AQ18" s="418"/>
      <c r="AR18" s="418"/>
      <c r="AS18" s="419"/>
      <c r="AT18" s="420"/>
      <c r="AU18" s="417"/>
      <c r="AV18" s="417"/>
      <c r="AW18" s="417"/>
      <c r="AX18" s="417"/>
      <c r="AY18" s="417"/>
      <c r="AZ18" s="417"/>
      <c r="BA18" s="417"/>
      <c r="BB18" s="417"/>
      <c r="BC18" s="417"/>
      <c r="BD18" s="417"/>
      <c r="BE18" s="417"/>
      <c r="BF18" s="417"/>
      <c r="BG18" s="421"/>
      <c r="BH18" s="422"/>
      <c r="BI18" s="422"/>
      <c r="BJ18" s="422"/>
      <c r="BK18" s="422"/>
      <c r="BL18" s="422"/>
      <c r="BM18" s="422"/>
      <c r="BN18" s="422"/>
      <c r="BO18" s="422"/>
      <c r="BP18" s="422"/>
      <c r="BQ18" s="422"/>
      <c r="BR18" s="422"/>
      <c r="BS18" s="422"/>
      <c r="BT18" s="423"/>
      <c r="BU18" s="424"/>
      <c r="BV18" s="255"/>
      <c r="CH18" s="425" t="e">
        <f t="shared" si="11"/>
        <v>#N/A</v>
      </c>
      <c r="CI18" s="425" t="e">
        <f t="shared" si="12"/>
        <v>#N/A</v>
      </c>
      <c r="CJ18" s="425" t="e">
        <f t="shared" si="110"/>
        <v>#N/A</v>
      </c>
      <c r="CK18" s="425" t="e">
        <f t="shared" si="14"/>
        <v>#N/A</v>
      </c>
      <c r="CL18" s="425" t="e">
        <f t="shared" si="15"/>
        <v>#N/A</v>
      </c>
      <c r="CM18" s="425" t="e">
        <f t="shared" si="16"/>
        <v>#N/A</v>
      </c>
      <c r="CN18" s="425" t="e">
        <f t="shared" si="17"/>
        <v>#N/A</v>
      </c>
      <c r="CO18" s="425" t="e">
        <f t="shared" si="18"/>
        <v>#N/A</v>
      </c>
      <c r="CP18" s="425" t="e">
        <f t="shared" si="19"/>
        <v>#N/A</v>
      </c>
      <c r="CQ18" s="425" t="e">
        <f t="shared" si="20"/>
        <v>#N/A</v>
      </c>
      <c r="CR18" s="384" t="e">
        <f t="shared" si="39"/>
        <v>#N/A</v>
      </c>
      <c r="CS18" s="384" t="e">
        <f>(HLOOKUP($AI18,'Inflation Adjustments'!$B$3:$BT$4,2,TRUE))*CH18</f>
        <v>#N/A</v>
      </c>
      <c r="CT18" s="384" t="e">
        <f>(HLOOKUP($AI18,'Inflation Adjustments'!$B$3:$BT$4,2,TRUE))*CI18</f>
        <v>#N/A</v>
      </c>
      <c r="CU18" s="384" t="e">
        <f>(HLOOKUP($AI18,'Inflation Adjustments'!$B$3:$BT$4,2,TRUE))*CJ18</f>
        <v>#N/A</v>
      </c>
      <c r="CV18" s="384" t="e">
        <f>(HLOOKUP($AI18,'Inflation Adjustments'!$B$3:$BT$4,2,TRUE))*CK18</f>
        <v>#N/A</v>
      </c>
      <c r="CW18" s="384" t="e">
        <f>(HLOOKUP($AI18,'Inflation Adjustments'!$B$3:$BT$4,2,TRUE))*CL18</f>
        <v>#N/A</v>
      </c>
      <c r="CX18" s="384" t="e">
        <f>(HLOOKUP($AI18,'Inflation Adjustments'!$B$3:$BT$4,2,TRUE))*CM18</f>
        <v>#N/A</v>
      </c>
      <c r="CY18" s="384" t="e">
        <f>(HLOOKUP($AI18,'Inflation Adjustments'!$B$3:$BT$4,2,TRUE))*CN18</f>
        <v>#N/A</v>
      </c>
      <c r="CZ18" s="384" t="e">
        <f>(HLOOKUP($AI18,'Inflation Adjustments'!$B$3:$BT$4,2,TRUE))*CO18</f>
        <v>#N/A</v>
      </c>
      <c r="DA18" s="384" t="e">
        <f>(HLOOKUP($AI18,'Inflation Adjustments'!$B$3:$BT$4,2,TRUE))*CP18</f>
        <v>#N/A</v>
      </c>
      <c r="DB18" s="384" t="e">
        <f>(HLOOKUP($AI18,'Inflation Adjustments'!$B$3:$BT$4,2,TRUE))*CQ18</f>
        <v>#N/A</v>
      </c>
      <c r="DC18" s="384" t="e">
        <f t="shared" si="40"/>
        <v>#N/A</v>
      </c>
      <c r="DD18" s="384">
        <f t="shared" si="21"/>
        <v>2022</v>
      </c>
      <c r="DE18" s="425" t="e">
        <f t="shared" si="22"/>
        <v>#N/A</v>
      </c>
      <c r="DF18" s="425" t="e">
        <f t="shared" si="23"/>
        <v>#N/A</v>
      </c>
      <c r="DG18" s="425" t="e">
        <f t="shared" si="24"/>
        <v>#N/A</v>
      </c>
      <c r="DH18" s="425" t="e">
        <f t="shared" si="25"/>
        <v>#N/A</v>
      </c>
      <c r="DI18" s="425" t="e">
        <f t="shared" si="26"/>
        <v>#N/A</v>
      </c>
      <c r="DJ18" s="425" t="e">
        <f t="shared" si="27"/>
        <v>#N/A</v>
      </c>
      <c r="DK18" s="425" t="e">
        <f t="shared" si="28"/>
        <v>#N/A</v>
      </c>
      <c r="DL18" s="425" t="e">
        <f t="shared" si="29"/>
        <v>#N/A</v>
      </c>
      <c r="DM18" s="425" t="e">
        <f t="shared" si="30"/>
        <v>#N/A</v>
      </c>
      <c r="DN18" s="425" t="e">
        <f t="shared" si="31"/>
        <v>#N/A</v>
      </c>
      <c r="DO18" s="425" t="e">
        <f t="shared" si="32"/>
        <v>#N/A</v>
      </c>
      <c r="DP18" s="425" t="e">
        <f t="shared" si="111"/>
        <v>#N/A</v>
      </c>
      <c r="DQ18" s="425" t="e">
        <f t="shared" si="111"/>
        <v>#N/A</v>
      </c>
      <c r="DR18" s="425" t="e">
        <f t="shared" si="111"/>
        <v>#N/A</v>
      </c>
      <c r="DS18" s="425" t="e">
        <f t="shared" si="111"/>
        <v>#N/A</v>
      </c>
      <c r="DT18" s="425" t="e">
        <f t="shared" si="111"/>
        <v>#N/A</v>
      </c>
      <c r="DU18" s="425" t="e">
        <f t="shared" si="111"/>
        <v>#N/A</v>
      </c>
      <c r="DV18" s="425" t="e">
        <f t="shared" si="111"/>
        <v>#N/A</v>
      </c>
      <c r="DW18" s="425" t="e">
        <f t="shared" si="111"/>
        <v>#N/A</v>
      </c>
      <c r="DX18" s="425" t="e">
        <f t="shared" si="111"/>
        <v>#N/A</v>
      </c>
      <c r="DY18" s="425" t="e">
        <f t="shared" si="41"/>
        <v>#N/A</v>
      </c>
      <c r="DZ18" s="425" t="e">
        <f t="shared" si="34"/>
        <v>#N/A</v>
      </c>
      <c r="EA18" s="425" t="e">
        <f t="shared" si="112"/>
        <v>#N/A</v>
      </c>
      <c r="EB18" s="425" t="e">
        <f t="shared" si="112"/>
        <v>#N/A</v>
      </c>
      <c r="EC18" s="425" t="e">
        <f t="shared" si="112"/>
        <v>#N/A</v>
      </c>
      <c r="ED18" s="425" t="e">
        <f t="shared" si="112"/>
        <v>#N/A</v>
      </c>
      <c r="EE18" s="425" t="e">
        <f t="shared" si="112"/>
        <v>#N/A</v>
      </c>
      <c r="EF18" s="425" t="e">
        <f t="shared" si="112"/>
        <v>#N/A</v>
      </c>
      <c r="EG18" s="425" t="e">
        <f t="shared" si="112"/>
        <v>#N/A</v>
      </c>
      <c r="EH18" s="425" t="e">
        <f t="shared" si="112"/>
        <v>#N/A</v>
      </c>
      <c r="EI18" s="425" t="e">
        <f t="shared" si="112"/>
        <v>#N/A</v>
      </c>
      <c r="EJ18" s="384" t="e">
        <f t="shared" si="42"/>
        <v>#N/A</v>
      </c>
      <c r="EK18" s="425" t="e">
        <f t="shared" si="36"/>
        <v>#N/A</v>
      </c>
      <c r="EL18" s="425" t="e">
        <f t="shared" si="113"/>
        <v>#N/A</v>
      </c>
      <c r="EM18" s="425" t="e">
        <f t="shared" si="113"/>
        <v>#N/A</v>
      </c>
      <c r="EN18" s="425" t="e">
        <f t="shared" si="113"/>
        <v>#N/A</v>
      </c>
      <c r="EO18" s="425" t="e">
        <f t="shared" si="113"/>
        <v>#N/A</v>
      </c>
      <c r="EP18" s="425" t="e">
        <f t="shared" si="113"/>
        <v>#N/A</v>
      </c>
      <c r="EQ18" s="425" t="e">
        <f t="shared" si="113"/>
        <v>#N/A</v>
      </c>
      <c r="ER18" s="425" t="e">
        <f t="shared" si="113"/>
        <v>#N/A</v>
      </c>
      <c r="ES18" s="425" t="e">
        <f t="shared" si="113"/>
        <v>#N/A</v>
      </c>
      <c r="ET18" s="425" t="e">
        <f t="shared" si="113"/>
        <v>#N/A</v>
      </c>
      <c r="EU18" s="384" t="e">
        <f t="shared" si="43"/>
        <v>#N/A</v>
      </c>
      <c r="EV18" s="426"/>
      <c r="EW18" s="426"/>
      <c r="EX18" s="426"/>
      <c r="EY18" s="426"/>
      <c r="EZ18" s="426"/>
      <c r="FA18" s="426"/>
      <c r="FB18" s="426"/>
    </row>
    <row r="21" spans="1:158" x14ac:dyDescent="0.3">
      <c r="AM21" s="341"/>
      <c r="AO21" s="341"/>
      <c r="AP21" s="341"/>
      <c r="AS21" s="385"/>
      <c r="AT21" s="385"/>
      <c r="AU21" s="385"/>
    </row>
    <row r="50" spans="2:158" ht="39" customHeight="1" x14ac:dyDescent="0.3">
      <c r="B50" s="91" t="s">
        <v>52</v>
      </c>
      <c r="AM50" s="508">
        <f>SUM(AM5:AM10)</f>
        <v>2065813.5673676732</v>
      </c>
      <c r="AN50" s="508">
        <f t="shared" ref="AN50:AT50" si="114">SUM(AN5:AN10)</f>
        <v>0</v>
      </c>
      <c r="AO50" s="508">
        <f t="shared" si="114"/>
        <v>624324.75635028328</v>
      </c>
      <c r="AP50" s="508">
        <f t="shared" si="114"/>
        <v>1441488.8110173896</v>
      </c>
      <c r="AQ50" s="508">
        <f t="shared" si="114"/>
        <v>64380.258168417917</v>
      </c>
      <c r="AR50" s="508">
        <f t="shared" si="114"/>
        <v>1377108.5528489719</v>
      </c>
      <c r="AS50" s="508">
        <f t="shared" si="114"/>
        <v>4360386.6468749996</v>
      </c>
      <c r="AT50" s="508">
        <f t="shared" si="114"/>
        <v>21801.933234374999</v>
      </c>
      <c r="BY50" s="91"/>
      <c r="BZ50" s="91"/>
      <c r="CA50" s="91"/>
      <c r="CB50" s="91"/>
      <c r="CC50" s="91"/>
      <c r="CD50" s="91"/>
      <c r="CE50" s="91"/>
      <c r="CF50" s="91"/>
      <c r="CG50" s="91"/>
      <c r="CH50" s="91"/>
      <c r="CI50" s="91"/>
      <c r="CJ50" s="91"/>
      <c r="CK50" s="91"/>
      <c r="CL50" s="91"/>
      <c r="CM50" s="91"/>
      <c r="CN50" s="91"/>
      <c r="CO50" s="91"/>
      <c r="CP50" s="91"/>
      <c r="CQ50" s="91"/>
      <c r="CR50" s="91"/>
      <c r="CS50" s="91"/>
      <c r="CT50" s="91"/>
      <c r="CU50" s="91"/>
      <c r="CV50" s="91"/>
      <c r="CW50" s="91"/>
      <c r="CX50" s="91"/>
      <c r="CY50" s="91"/>
      <c r="CZ50" s="91"/>
      <c r="DA50" s="91"/>
      <c r="DB50" s="91"/>
      <c r="DC50" s="91"/>
      <c r="DD50" s="91"/>
      <c r="DE50" s="91"/>
      <c r="DF50" s="91"/>
      <c r="DG50" s="91"/>
      <c r="DH50" s="91"/>
      <c r="DI50" s="91"/>
      <c r="DJ50" s="91"/>
      <c r="DK50" s="91"/>
      <c r="DL50" s="91"/>
      <c r="DM50" s="91"/>
      <c r="DN50" s="91"/>
      <c r="DO50" s="91"/>
      <c r="DP50" s="91"/>
      <c r="DQ50" s="91"/>
      <c r="DR50" s="91"/>
      <c r="DS50" s="91"/>
      <c r="DT50" s="91"/>
      <c r="DU50" s="91"/>
      <c r="DV50" s="91"/>
      <c r="DW50" s="91"/>
      <c r="DX50" s="91"/>
      <c r="DY50" s="91"/>
      <c r="DZ50" s="91"/>
      <c r="EA50" s="91"/>
      <c r="EB50" s="91"/>
      <c r="EC50" s="91"/>
      <c r="ED50" s="91"/>
      <c r="EE50" s="91"/>
      <c r="EF50" s="91"/>
      <c r="EG50" s="91"/>
      <c r="EH50" s="91"/>
      <c r="EI50" s="91"/>
      <c r="EJ50" s="91"/>
      <c r="EK50" s="91"/>
      <c r="EL50" s="91"/>
      <c r="EM50" s="91"/>
      <c r="EN50" s="91"/>
      <c r="EO50" s="91"/>
      <c r="EP50" s="91"/>
      <c r="EQ50" s="91"/>
      <c r="ER50" s="91"/>
      <c r="ES50" s="91"/>
      <c r="ET50" s="91"/>
      <c r="EU50" s="91"/>
      <c r="EV50" s="91"/>
      <c r="EW50" s="91"/>
      <c r="EX50" s="91"/>
      <c r="EY50" s="91"/>
      <c r="EZ50" s="91"/>
      <c r="FA50" s="91"/>
      <c r="FB50" s="91"/>
    </row>
  </sheetData>
  <mergeCells count="57">
    <mergeCell ref="FB3:FB4"/>
    <mergeCell ref="CS3:DC3"/>
    <mergeCell ref="DE3:DN3"/>
    <mergeCell ref="DO3:DY3"/>
    <mergeCell ref="DZ3:EJ3"/>
    <mergeCell ref="EK3:EU3"/>
    <mergeCell ref="EV3:EV4"/>
    <mergeCell ref="EW3:EW4"/>
    <mergeCell ref="EX3:EX4"/>
    <mergeCell ref="EY3:EY4"/>
    <mergeCell ref="EZ3:EZ4"/>
    <mergeCell ref="FA3:FA4"/>
    <mergeCell ref="CH3:CR3"/>
    <mergeCell ref="BJ3:BJ4"/>
    <mergeCell ref="BK3:BK4"/>
    <mergeCell ref="BL3:BL4"/>
    <mergeCell ref="BM3:BM4"/>
    <mergeCell ref="BN3:BN4"/>
    <mergeCell ref="BO3:BO4"/>
    <mergeCell ref="BP3:BP4"/>
    <mergeCell ref="BQ3:BQ4"/>
    <mergeCell ref="BR3:BR4"/>
    <mergeCell ref="BS3:BS4"/>
    <mergeCell ref="BT3:BT4"/>
    <mergeCell ref="BU3:BU4"/>
    <mergeCell ref="BI3:BI4"/>
    <mergeCell ref="AO3:AO4"/>
    <mergeCell ref="AP3:AP4"/>
    <mergeCell ref="AQ3:AQ4"/>
    <mergeCell ref="AR3:AR4"/>
    <mergeCell ref="AS3:AS4"/>
    <mergeCell ref="AT3:AT4"/>
    <mergeCell ref="AU3:BD3"/>
    <mergeCell ref="BE3:BE4"/>
    <mergeCell ref="BF3:BF4"/>
    <mergeCell ref="BH3:BH4"/>
    <mergeCell ref="J3:S3"/>
    <mergeCell ref="T3:AC3"/>
    <mergeCell ref="AD3:AE3"/>
    <mergeCell ref="AG3:AH3"/>
    <mergeCell ref="AI3:AJ3"/>
    <mergeCell ref="A1:B1"/>
    <mergeCell ref="FC5:FG5"/>
    <mergeCell ref="FC4:FG4"/>
    <mergeCell ref="FC10:FG10"/>
    <mergeCell ref="FC9:FG9"/>
    <mergeCell ref="FC8:FG8"/>
    <mergeCell ref="FC7:FG7"/>
    <mergeCell ref="FC6:FG6"/>
    <mergeCell ref="A2:I2"/>
    <mergeCell ref="J2:AE2"/>
    <mergeCell ref="DO2:EJ2"/>
    <mergeCell ref="EV2:FB2"/>
    <mergeCell ref="AM3:AN3"/>
    <mergeCell ref="AF2:AR2"/>
    <mergeCell ref="AS2:BG2"/>
    <mergeCell ref="BH2:BT2"/>
  </mergeCells>
  <phoneticPr fontId="13" type="noConversion"/>
  <conditionalFormatting sqref="AU5:BA12">
    <cfRule type="cellIs" dxfId="188" priority="9" operator="equal">
      <formula>1</formula>
    </cfRule>
    <cfRule type="cellIs" dxfId="187" priority="10" operator="equal">
      <formula>2</formula>
    </cfRule>
    <cfRule type="cellIs" dxfId="186" priority="11" operator="equal">
      <formula>3</formula>
    </cfRule>
    <cfRule type="cellIs" dxfId="185" priority="12" operator="greaterThan">
      <formula>3.5</formula>
    </cfRule>
  </conditionalFormatting>
  <conditionalFormatting sqref="BE5:BE10">
    <cfRule type="cellIs" dxfId="184" priority="5" operator="equal">
      <formula>1</formula>
    </cfRule>
    <cfRule type="cellIs" dxfId="183" priority="6" operator="equal">
      <formula>2</formula>
    </cfRule>
    <cfRule type="cellIs" dxfId="182" priority="7" operator="equal">
      <formula>3</formula>
    </cfRule>
    <cfRule type="cellIs" dxfId="181" priority="8" operator="greaterThan">
      <formula>3.5</formula>
    </cfRule>
  </conditionalFormatting>
  <conditionalFormatting sqref="BG5:BG10">
    <cfRule type="cellIs" dxfId="180" priority="1" operator="lessThan">
      <formula>0.3</formula>
    </cfRule>
    <cfRule type="cellIs" dxfId="179" priority="2" operator="between">
      <formula>0.3</formula>
      <formula>0.5</formula>
    </cfRule>
    <cfRule type="cellIs" dxfId="178" priority="3" operator="between">
      <formula>0.5</formula>
      <formula>0.6</formula>
    </cfRule>
    <cfRule type="cellIs" dxfId="177" priority="4" operator="greaterThan">
      <formula>0.6</formula>
    </cfRule>
    <cfRule type="cellIs" dxfId="176" priority="13" operator="lessThan">
      <formula>0.5</formula>
    </cfRule>
  </conditionalFormatting>
  <dataValidations count="6">
    <dataValidation type="list" allowBlank="1" showInputMessage="1" showErrorMessage="1" sqref="D14:D15" xr:uid="{2F01FE2C-00F8-4E06-A2EA-87EC2F0740EA}">
      <formula1>$D$4:$D$19</formula1>
    </dataValidation>
    <dataValidation type="list" allowBlank="1" showInputMessage="1" showErrorMessage="1" sqref="C11:C14" xr:uid="{AA57D525-7C28-404D-AA73-CE30615221A7}">
      <formula1>$B$4:$B$49</formula1>
    </dataValidation>
    <dataValidation type="list" allowBlank="1" showInputMessage="1" showErrorMessage="1" sqref="F11:F14" xr:uid="{9D015305-3771-47EE-9E42-2B8D4E43140F}">
      <formula1>$H$4:$H$21</formula1>
    </dataValidation>
    <dataValidation type="list" allowBlank="1" showInputMessage="1" showErrorMessage="1" sqref="M17:M18" xr:uid="{C06FFB39-E630-4A57-9A17-929675A2EBFC}">
      <formula1>$J$39:$J$45</formula1>
    </dataValidation>
    <dataValidation type="list" allowBlank="1" showInputMessage="1" showErrorMessage="1" sqref="R5:R14" xr:uid="{8F7CF8C8-23E7-4A2E-A4B5-2F380D3996F9}">
      <formula1>$J$88:$J$91</formula1>
    </dataValidation>
    <dataValidation type="list" allowBlank="1" showInputMessage="1" showErrorMessage="1" sqref="Y4:AC4" xr:uid="{44411373-2718-424E-BF69-701D3EF49043}">
      <formula1>$I$4:$I$16</formula1>
    </dataValidation>
  </dataValidations>
  <pageMargins left="0.7" right="0.7" top="0.75" bottom="0.75" header="0.3" footer="0.3"/>
  <pageSetup orientation="portrait" horizontalDpi="4294967293" verticalDpi="0" r:id="rId1"/>
  <headerFooter>
    <oddFooter>&amp;C_x000D_&amp;1#&amp;"Calibri"&amp;8&amp;K000000 INTERNAL. This information is accessible to ADB Management and staff. It may be shared outside ADB with appropriate permission.</oddFooter>
  </headerFooter>
  <extLst>
    <ext xmlns:x14="http://schemas.microsoft.com/office/spreadsheetml/2009/9/main" uri="{CCE6A557-97BC-4b89-ADB6-D9C93CAAB3DF}">
      <x14:dataValidations xmlns:xm="http://schemas.microsoft.com/office/excel/2006/main" count="19">
        <x14:dataValidation type="list" allowBlank="1" showInputMessage="1" showErrorMessage="1" xr:uid="{B8337DA1-7379-45BD-9E5E-9E97E6F2018B}">
          <x14:formula1>
            <xm:f>'Inflation Adjustments'!$B$3:$BT$3</xm:f>
          </x14:formula1>
          <xm:sqref>AG16 AG5:AG11</xm:sqref>
        </x14:dataValidation>
        <x14:dataValidation type="list" allowBlank="1" showInputMessage="1" showErrorMessage="1" xr:uid="{DDEE9EA5-4024-4827-BCE9-02853EEAEE22}">
          <x14:formula1>
            <xm:f>'Condition rating weights'!$C$29:$C$34</xm:f>
          </x14:formula1>
          <xm:sqref>AU5:BF14</xm:sqref>
        </x14:dataValidation>
        <x14:dataValidation type="list" allowBlank="1" showInputMessage="1" showErrorMessage="1" xr:uid="{A61F3B8D-C532-444B-8CB2-20AB6868BA8A}">
          <x14:formula1>
            <xm:f>'AR-Hierarchy '!$K$4:$K$17</xm:f>
          </x14:formula1>
          <xm:sqref>T5:AC18</xm:sqref>
        </x14:dataValidation>
        <x14:dataValidation type="list" allowBlank="1" showInputMessage="1" showErrorMessage="1" xr:uid="{6E049D30-61DA-47EE-9841-5D52A69108EF}">
          <x14:formula1>
            <xm:f>'AR-Hierarchy '!$H$4:$H$20</xm:f>
          </x14:formula1>
          <xm:sqref>F16</xm:sqref>
        </x14:dataValidation>
        <x14:dataValidation type="list" allowBlank="1" showInputMessage="1" showErrorMessage="1" xr:uid="{203A4DDB-A99E-4C48-A95E-CF85A7C846E0}">
          <x14:formula1>
            <xm:f>'AR-Hierarchy '!$I$4:$I$14</xm:f>
          </x14:formula1>
          <xm:sqref>J4:S4</xm:sqref>
        </x14:dataValidation>
        <x14:dataValidation type="list" allowBlank="1" showInputMessage="1" showErrorMessage="1" xr:uid="{74DD92DA-04D8-45AA-9FB7-3637D94E4CBC}">
          <x14:formula1>
            <xm:f>'AR-Hierarchy '!$J$14:$J$21</xm:f>
          </x14:formula1>
          <xm:sqref>K5:K18</xm:sqref>
        </x14:dataValidation>
        <x14:dataValidation type="list" allowBlank="1" showInputMessage="1" showErrorMessage="1" xr:uid="{3894BC66-D25F-4CCC-A4DB-F7EB768B7AE9}">
          <x14:formula1>
            <xm:f>'AR-Hierarchy '!$J$5:$J$12</xm:f>
          </x14:formula1>
          <xm:sqref>J5:J18</xm:sqref>
        </x14:dataValidation>
        <x14:dataValidation type="list" allowBlank="1" showInputMessage="1" showErrorMessage="1" xr:uid="{EB4CB940-9CCD-43D9-B759-4D56DFF93B67}">
          <x14:formula1>
            <xm:f>'AR-Hierarchy '!$J$24:$J$32</xm:f>
          </x14:formula1>
          <xm:sqref>L5:L18</xm:sqref>
        </x14:dataValidation>
        <x14:dataValidation type="list" allowBlank="1" showInputMessage="1" showErrorMessage="1" xr:uid="{D7016716-927D-4C3F-91BE-2643C089F42E}">
          <x14:formula1>
            <xm:f>'AR-Hierarchy '!$J$35:$J$41</xm:f>
          </x14:formula1>
          <xm:sqref>M5:M15</xm:sqref>
        </x14:dataValidation>
        <x14:dataValidation type="list" allowBlank="1" showInputMessage="1" showErrorMessage="1" xr:uid="{43385177-560F-464E-B5CD-AE027420FEA6}">
          <x14:formula1>
            <xm:f>'AR-Hierarchy '!$J$45:$J$51</xm:f>
          </x14:formula1>
          <xm:sqref>N5:N18</xm:sqref>
        </x14:dataValidation>
        <x14:dataValidation type="list" allowBlank="1" showInputMessage="1" showErrorMessage="1" xr:uid="{956F5F91-B7B2-4716-8B81-BEFA66A58737}">
          <x14:formula1>
            <xm:f>'AR-Hierarchy '!$J$54:$J$60</xm:f>
          </x14:formula1>
          <xm:sqref>O5:O18</xm:sqref>
        </x14:dataValidation>
        <x14:dataValidation type="list" allowBlank="1" showInputMessage="1" showErrorMessage="1" xr:uid="{69154A70-D3B5-4C42-923D-FB7CEBF80044}">
          <x14:formula1>
            <xm:f>'AR-Hierarchy '!$J$63:$J$68</xm:f>
          </x14:formula1>
          <xm:sqref>P5:P14</xm:sqref>
        </x14:dataValidation>
        <x14:dataValidation type="list" allowBlank="1" showInputMessage="1" showErrorMessage="1" xr:uid="{5D36BF7A-E3C7-4E30-9F84-EC7AA0AD132B}">
          <x14:formula1>
            <xm:f>'AR-Hierarchy '!$J$72:$J$77</xm:f>
          </x14:formula1>
          <xm:sqref>Q5:Q18</xm:sqref>
        </x14:dataValidation>
        <x14:dataValidation type="list" allowBlank="1" showInputMessage="1" showErrorMessage="1" xr:uid="{5E4590F2-8604-4A99-9B24-A038B2FBD89E}">
          <x14:formula1>
            <xm:f>'AR-Hierarchy '!$J$80:$J$83</xm:f>
          </x14:formula1>
          <xm:sqref>R16</xm:sqref>
        </x14:dataValidation>
        <x14:dataValidation type="list" allowBlank="1" showInputMessage="1" showErrorMessage="1" xr:uid="{1A40D762-6687-4711-AD11-9C71C96DB562}">
          <x14:formula1>
            <xm:f>'AR-Hierarchy '!$J$86:$J$90</xm:f>
          </x14:formula1>
          <xm:sqref>S5:S14</xm:sqref>
        </x14:dataValidation>
        <x14:dataValidation type="list" allowBlank="1" showInputMessage="1" showErrorMessage="1" xr:uid="{FF7292E1-577A-4D1B-9A9E-00F9AFC42EAA}">
          <x14:formula1>
            <xm:f>'AR-Hierarchy '!#REF!</xm:f>
          </x14:formula1>
          <xm:sqref>E5:E14 D11:D12</xm:sqref>
        </x14:dataValidation>
        <x14:dataValidation type="list" allowBlank="1" showInputMessage="1" showErrorMessage="1" xr:uid="{9D4FED89-C896-45C2-BB95-86F6E03CA379}">
          <x14:formula1>
            <xm:f>'AR-Hierarchy '!$D$22:$D$25</xm:f>
          </x14:formula1>
          <xm:sqref>D5:D10</xm:sqref>
        </x14:dataValidation>
        <x14:dataValidation type="list" allowBlank="1" showInputMessage="1" showErrorMessage="1" xr:uid="{E8C3A9CF-DE71-4BA6-B99D-269569021534}">
          <x14:formula1>
            <xm:f>'AR-Hierarchy '!$D$4:$D$33</xm:f>
          </x14:formula1>
          <xm:sqref>D17:D18</xm:sqref>
        </x14:dataValidation>
        <x14:dataValidation type="list" allowBlank="1" showInputMessage="1" showErrorMessage="1" xr:uid="{EFDBFBD2-F864-43EB-B346-BF8D83A727CE}">
          <x14:formula1>
            <xm:f>'AR-Hierarchy '!$B$4:$B$53</xm:f>
          </x14:formula1>
          <xm:sqref>C5:C10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438A4-B713-4733-8EFF-552F6C210045}">
  <dimension ref="A1:FI50"/>
  <sheetViews>
    <sheetView topLeftCell="AL25" workbookViewId="0">
      <selection activeCell="AN50" sqref="AN50:AT50"/>
    </sheetView>
  </sheetViews>
  <sheetFormatPr defaultColWidth="8.81640625" defaultRowHeight="14" x14ac:dyDescent="0.3"/>
  <cols>
    <col min="1" max="71" width="35.6328125" style="91" customWidth="1"/>
    <col min="72" max="73" width="35.6328125" style="290" customWidth="1"/>
    <col min="74" max="76" width="8.81640625" style="91"/>
    <col min="77" max="77" width="16.08984375" style="91" customWidth="1"/>
    <col min="78" max="85" width="8.81640625" style="91"/>
    <col min="86" max="86" width="12.08984375" style="91" customWidth="1"/>
    <col min="87" max="87" width="10.90625" style="91" customWidth="1"/>
    <col min="88" max="88" width="11.81640625" style="91" customWidth="1"/>
    <col min="89" max="89" width="11" style="91" customWidth="1"/>
    <col min="90" max="90" width="11.453125" style="91" customWidth="1"/>
    <col min="91" max="91" width="12.54296875" style="91" bestFit="1" customWidth="1"/>
    <col min="92" max="92" width="11.08984375" style="91" bestFit="1" customWidth="1"/>
    <col min="93" max="93" width="8.81640625" style="91"/>
    <col min="94" max="94" width="10.453125" style="91" customWidth="1"/>
    <col min="95" max="95" width="11.08984375" style="91" bestFit="1" customWidth="1"/>
    <col min="96" max="101" width="12.1796875" style="91" customWidth="1"/>
    <col min="102" max="102" width="11.90625" style="91" customWidth="1"/>
    <col min="103" max="103" width="10.6328125" style="91" customWidth="1"/>
    <col min="104" max="104" width="8.81640625" style="91"/>
    <col min="105" max="105" width="10.81640625" style="91" customWidth="1"/>
    <col min="106" max="106" width="8.81640625" style="91"/>
    <col min="107" max="107" width="12" style="91" customWidth="1"/>
    <col min="108" max="108" width="16.36328125" style="91" customWidth="1"/>
    <col min="109" max="109" width="11.1796875" style="91" customWidth="1"/>
    <col min="110" max="113" width="10.6328125" style="91" customWidth="1"/>
    <col min="114" max="114" width="10" style="91" customWidth="1"/>
    <col min="115" max="115" width="10.90625" style="91" customWidth="1"/>
    <col min="116" max="116" width="9.08984375" style="91" bestFit="1" customWidth="1"/>
    <col min="117" max="117" width="10.81640625" style="91" customWidth="1"/>
    <col min="118" max="118" width="8.81640625" style="91"/>
    <col min="119" max="119" width="11.36328125" style="91" customWidth="1"/>
    <col min="120" max="123" width="10.81640625" style="91" customWidth="1"/>
    <col min="124" max="124" width="8.81640625" style="91" bestFit="1" customWidth="1"/>
    <col min="125" max="125" width="9.08984375" style="91" bestFit="1" customWidth="1"/>
    <col min="126" max="127" width="8.81640625" style="91" bestFit="1" customWidth="1"/>
    <col min="128" max="129" width="8.81640625" style="91" customWidth="1"/>
    <col min="130" max="130" width="11.36328125" style="91" customWidth="1"/>
    <col min="131" max="135" width="10.08984375" style="91" customWidth="1"/>
    <col min="136" max="139" width="8.81640625" style="91"/>
    <col min="140" max="140" width="11.08984375" style="91" bestFit="1" customWidth="1"/>
    <col min="141" max="151" width="11.08984375" style="91" customWidth="1"/>
    <col min="152" max="155" width="11.54296875" style="91" customWidth="1"/>
    <col min="156" max="156" width="11.81640625" style="91" customWidth="1"/>
    <col min="157" max="158" width="12.1796875" style="91" customWidth="1"/>
    <col min="159" max="16384" width="8.81640625" style="91"/>
  </cols>
  <sheetData>
    <row r="1" spans="1:165" ht="29.5" customHeight="1" thickTop="1" x14ac:dyDescent="0.3">
      <c r="A1" s="621" t="s">
        <v>32</v>
      </c>
      <c r="B1" s="622"/>
      <c r="C1" s="288">
        <v>2023</v>
      </c>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row>
    <row r="2" spans="1:165" ht="45.5" customHeight="1" thickBot="1" x14ac:dyDescent="0.35">
      <c r="A2" s="584" t="s">
        <v>1420</v>
      </c>
      <c r="B2" s="585"/>
      <c r="C2" s="585"/>
      <c r="D2" s="585"/>
      <c r="E2" s="585"/>
      <c r="F2" s="585"/>
      <c r="G2" s="585"/>
      <c r="H2" s="585"/>
      <c r="I2" s="649"/>
      <c r="J2" s="584" t="s">
        <v>298</v>
      </c>
      <c r="K2" s="585"/>
      <c r="L2" s="585"/>
      <c r="M2" s="585"/>
      <c r="N2" s="585"/>
      <c r="O2" s="585"/>
      <c r="P2" s="585"/>
      <c r="Q2" s="585"/>
      <c r="R2" s="585"/>
      <c r="S2" s="585"/>
      <c r="T2" s="585"/>
      <c r="U2" s="585"/>
      <c r="V2" s="585"/>
      <c r="W2" s="585"/>
      <c r="X2" s="585"/>
      <c r="Y2" s="585"/>
      <c r="Z2" s="585"/>
      <c r="AA2" s="585"/>
      <c r="AB2" s="585"/>
      <c r="AC2" s="585"/>
      <c r="AD2" s="585"/>
      <c r="AE2" s="586"/>
      <c r="AF2" s="592" t="s">
        <v>267</v>
      </c>
      <c r="AG2" s="593"/>
      <c r="AH2" s="593"/>
      <c r="AI2" s="593"/>
      <c r="AJ2" s="593"/>
      <c r="AK2" s="593"/>
      <c r="AL2" s="593"/>
      <c r="AM2" s="593"/>
      <c r="AN2" s="593"/>
      <c r="AO2" s="593"/>
      <c r="AP2" s="593"/>
      <c r="AQ2" s="593"/>
      <c r="AR2" s="594"/>
      <c r="AS2" s="592" t="s">
        <v>268</v>
      </c>
      <c r="AT2" s="593"/>
      <c r="AU2" s="593"/>
      <c r="AV2" s="593"/>
      <c r="AW2" s="593"/>
      <c r="AX2" s="593"/>
      <c r="AY2" s="593"/>
      <c r="AZ2" s="593"/>
      <c r="BA2" s="593"/>
      <c r="BB2" s="593"/>
      <c r="BC2" s="593"/>
      <c r="BD2" s="593"/>
      <c r="BE2" s="593"/>
      <c r="BF2" s="593"/>
      <c r="BG2" s="593"/>
      <c r="BH2" s="597" t="s">
        <v>312</v>
      </c>
      <c r="BI2" s="598"/>
      <c r="BJ2" s="598"/>
      <c r="BK2" s="598"/>
      <c r="BL2" s="598"/>
      <c r="BM2" s="598"/>
      <c r="BN2" s="598"/>
      <c r="BO2" s="598"/>
      <c r="BP2" s="598"/>
      <c r="BQ2" s="598"/>
      <c r="BR2" s="598"/>
      <c r="BS2" s="598"/>
      <c r="BT2" s="599"/>
      <c r="BU2" s="291"/>
      <c r="DO2" s="589" t="s">
        <v>828</v>
      </c>
      <c r="DP2" s="589"/>
      <c r="DQ2" s="589"/>
      <c r="DR2" s="589"/>
      <c r="DS2" s="589"/>
      <c r="DT2" s="589"/>
      <c r="DU2" s="589"/>
      <c r="DV2" s="589"/>
      <c r="DW2" s="589"/>
      <c r="DX2" s="589"/>
      <c r="DY2" s="589"/>
      <c r="DZ2" s="589"/>
      <c r="EA2" s="589"/>
      <c r="EB2" s="589"/>
      <c r="EC2" s="589"/>
      <c r="ED2" s="589"/>
      <c r="EE2" s="589"/>
      <c r="EF2" s="589"/>
      <c r="EG2" s="589"/>
      <c r="EH2" s="589"/>
      <c r="EI2" s="589"/>
      <c r="EJ2" s="589"/>
      <c r="EK2" s="93"/>
      <c r="EL2" s="93"/>
      <c r="EM2" s="93"/>
      <c r="EN2" s="93"/>
      <c r="EO2" s="93"/>
      <c r="EP2" s="93"/>
      <c r="EQ2" s="93"/>
      <c r="ER2" s="93"/>
      <c r="ES2" s="93"/>
      <c r="ET2" s="93"/>
      <c r="EU2" s="93"/>
      <c r="EV2" s="590" t="s">
        <v>829</v>
      </c>
      <c r="EW2" s="590"/>
      <c r="EX2" s="590"/>
      <c r="EY2" s="590"/>
      <c r="EZ2" s="590"/>
      <c r="FA2" s="590"/>
      <c r="FB2" s="590"/>
    </row>
    <row r="3" spans="1:165" ht="14.5" thickTop="1" x14ac:dyDescent="0.3">
      <c r="A3" s="293" t="s">
        <v>0</v>
      </c>
      <c r="B3" s="294" t="s">
        <v>34</v>
      </c>
      <c r="C3" s="294" t="s">
        <v>250</v>
      </c>
      <c r="D3" s="294" t="s">
        <v>251</v>
      </c>
      <c r="E3" s="294" t="s">
        <v>1</v>
      </c>
      <c r="F3" s="294" t="s">
        <v>2</v>
      </c>
      <c r="G3" s="294" t="s">
        <v>252</v>
      </c>
      <c r="H3" s="294" t="s">
        <v>30</v>
      </c>
      <c r="I3" s="294" t="s">
        <v>31</v>
      </c>
      <c r="J3" s="616" t="s">
        <v>253</v>
      </c>
      <c r="K3" s="625"/>
      <c r="L3" s="625"/>
      <c r="M3" s="625"/>
      <c r="N3" s="625"/>
      <c r="O3" s="625"/>
      <c r="P3" s="625"/>
      <c r="Q3" s="625"/>
      <c r="R3" s="625"/>
      <c r="S3" s="626"/>
      <c r="T3" s="616" t="s">
        <v>254</v>
      </c>
      <c r="U3" s="625"/>
      <c r="V3" s="625"/>
      <c r="W3" s="625"/>
      <c r="X3" s="625"/>
      <c r="Y3" s="625"/>
      <c r="Z3" s="625"/>
      <c r="AA3" s="625"/>
      <c r="AB3" s="625"/>
      <c r="AC3" s="626"/>
      <c r="AD3" s="616" t="s">
        <v>255</v>
      </c>
      <c r="AE3" s="626"/>
      <c r="AF3" s="294" t="s">
        <v>259</v>
      </c>
      <c r="AG3" s="603" t="s">
        <v>38</v>
      </c>
      <c r="AH3" s="604"/>
      <c r="AI3" s="603" t="s">
        <v>261</v>
      </c>
      <c r="AJ3" s="591"/>
      <c r="AK3" s="296"/>
      <c r="AL3" s="296"/>
      <c r="AM3" s="591" t="s">
        <v>262</v>
      </c>
      <c r="AN3" s="591"/>
      <c r="AO3" s="591" t="s">
        <v>263</v>
      </c>
      <c r="AP3" s="591" t="s">
        <v>326</v>
      </c>
      <c r="AQ3" s="604" t="s">
        <v>33</v>
      </c>
      <c r="AR3" s="609" t="s">
        <v>264</v>
      </c>
      <c r="AS3" s="609" t="s">
        <v>265</v>
      </c>
      <c r="AT3" s="609" t="s">
        <v>266</v>
      </c>
      <c r="AU3" s="603" t="s">
        <v>53</v>
      </c>
      <c r="AV3" s="591"/>
      <c r="AW3" s="591"/>
      <c r="AX3" s="591"/>
      <c r="AY3" s="591"/>
      <c r="AZ3" s="591"/>
      <c r="BA3" s="591"/>
      <c r="BB3" s="591"/>
      <c r="BC3" s="591"/>
      <c r="BD3" s="604"/>
      <c r="BE3" s="609" t="s">
        <v>1581</v>
      </c>
      <c r="BF3" s="609"/>
      <c r="BG3" s="295" t="s">
        <v>1442</v>
      </c>
      <c r="BH3" s="605" t="s">
        <v>299</v>
      </c>
      <c r="BI3" s="605" t="s">
        <v>300</v>
      </c>
      <c r="BJ3" s="605" t="s">
        <v>301</v>
      </c>
      <c r="BK3" s="605" t="s">
        <v>302</v>
      </c>
      <c r="BL3" s="605" t="s">
        <v>303</v>
      </c>
      <c r="BM3" s="605" t="s">
        <v>304</v>
      </c>
      <c r="BN3" s="605" t="s">
        <v>305</v>
      </c>
      <c r="BO3" s="605" t="s">
        <v>306</v>
      </c>
      <c r="BP3" s="605" t="s">
        <v>307</v>
      </c>
      <c r="BQ3" s="605" t="s">
        <v>308</v>
      </c>
      <c r="BR3" s="605" t="s">
        <v>309</v>
      </c>
      <c r="BS3" s="605" t="s">
        <v>310</v>
      </c>
      <c r="BT3" s="616" t="s">
        <v>311</v>
      </c>
      <c r="BU3" s="617" t="s">
        <v>1428</v>
      </c>
      <c r="CA3" s="299" t="s">
        <v>809</v>
      </c>
      <c r="CH3" s="590" t="s">
        <v>816</v>
      </c>
      <c r="CI3" s="590"/>
      <c r="CJ3" s="590"/>
      <c r="CK3" s="590"/>
      <c r="CL3" s="590"/>
      <c r="CM3" s="590"/>
      <c r="CN3" s="590"/>
      <c r="CO3" s="590"/>
      <c r="CP3" s="590"/>
      <c r="CQ3" s="590"/>
      <c r="CR3" s="590"/>
      <c r="CS3" s="620" t="s">
        <v>262</v>
      </c>
      <c r="CT3" s="620"/>
      <c r="CU3" s="620"/>
      <c r="CV3" s="620"/>
      <c r="CW3" s="620"/>
      <c r="CX3" s="620"/>
      <c r="CY3" s="620"/>
      <c r="CZ3" s="620"/>
      <c r="DA3" s="620"/>
      <c r="DB3" s="620"/>
      <c r="DC3" s="620"/>
      <c r="DD3" s="292"/>
      <c r="DE3" s="590" t="s">
        <v>825</v>
      </c>
      <c r="DF3" s="590"/>
      <c r="DG3" s="590"/>
      <c r="DH3" s="590"/>
      <c r="DI3" s="590"/>
      <c r="DJ3" s="590"/>
      <c r="DK3" s="590"/>
      <c r="DL3" s="590"/>
      <c r="DM3" s="590"/>
      <c r="DN3" s="590"/>
      <c r="DO3" s="620" t="s">
        <v>827</v>
      </c>
      <c r="DP3" s="620"/>
      <c r="DQ3" s="620"/>
      <c r="DR3" s="620"/>
      <c r="DS3" s="620"/>
      <c r="DT3" s="620"/>
      <c r="DU3" s="620"/>
      <c r="DV3" s="620"/>
      <c r="DW3" s="620"/>
      <c r="DX3" s="620"/>
      <c r="DY3" s="620"/>
      <c r="DZ3" s="590" t="s">
        <v>826</v>
      </c>
      <c r="EA3" s="590"/>
      <c r="EB3" s="590"/>
      <c r="EC3" s="590"/>
      <c r="ED3" s="590"/>
      <c r="EE3" s="590"/>
      <c r="EF3" s="590"/>
      <c r="EG3" s="590"/>
      <c r="EH3" s="590"/>
      <c r="EI3" s="590"/>
      <c r="EJ3" s="590"/>
      <c r="EK3" s="620" t="s">
        <v>833</v>
      </c>
      <c r="EL3" s="620"/>
      <c r="EM3" s="620"/>
      <c r="EN3" s="620"/>
      <c r="EO3" s="620"/>
      <c r="EP3" s="620"/>
      <c r="EQ3" s="620"/>
      <c r="ER3" s="620"/>
      <c r="ES3" s="620"/>
      <c r="ET3" s="620"/>
      <c r="EU3" s="620"/>
      <c r="EV3" s="619" t="s">
        <v>1026</v>
      </c>
      <c r="EW3" s="619" t="s">
        <v>1022</v>
      </c>
      <c r="EX3" s="619" t="s">
        <v>1023</v>
      </c>
      <c r="EY3" s="619" t="s">
        <v>1027</v>
      </c>
      <c r="EZ3" s="619" t="s">
        <v>1024</v>
      </c>
      <c r="FA3" s="619" t="s">
        <v>1025</v>
      </c>
      <c r="FB3" s="619" t="s">
        <v>33</v>
      </c>
    </row>
    <row r="4" spans="1:165" ht="57.5" customHeight="1" thickBot="1" x14ac:dyDescent="0.35">
      <c r="A4" s="300"/>
      <c r="B4" s="301"/>
      <c r="C4" s="302"/>
      <c r="D4" s="302"/>
      <c r="E4" s="302"/>
      <c r="F4" s="302"/>
      <c r="G4" s="302"/>
      <c r="H4" s="302"/>
      <c r="I4" s="302"/>
      <c r="J4" s="302" t="s">
        <v>105</v>
      </c>
      <c r="K4" s="302" t="s">
        <v>106</v>
      </c>
      <c r="L4" s="302" t="s">
        <v>107</v>
      </c>
      <c r="M4" s="302" t="s">
        <v>108</v>
      </c>
      <c r="N4" s="302" t="s">
        <v>109</v>
      </c>
      <c r="O4" s="302" t="s">
        <v>120</v>
      </c>
      <c r="P4" s="302" t="s">
        <v>111</v>
      </c>
      <c r="Q4" s="302" t="s">
        <v>112</v>
      </c>
      <c r="R4" s="302" t="s">
        <v>113</v>
      </c>
      <c r="S4" s="302" t="s">
        <v>110</v>
      </c>
      <c r="T4" s="302" t="s">
        <v>935</v>
      </c>
      <c r="U4" s="302" t="s">
        <v>936</v>
      </c>
      <c r="V4" s="302" t="s">
        <v>937</v>
      </c>
      <c r="W4" s="302" t="s">
        <v>938</v>
      </c>
      <c r="X4" s="302" t="s">
        <v>939</v>
      </c>
      <c r="Y4" s="302" t="s">
        <v>120</v>
      </c>
      <c r="Z4" s="302" t="s">
        <v>111</v>
      </c>
      <c r="AA4" s="302" t="s">
        <v>112</v>
      </c>
      <c r="AB4" s="302" t="s">
        <v>113</v>
      </c>
      <c r="AC4" s="302" t="s">
        <v>110</v>
      </c>
      <c r="AD4" s="302" t="s">
        <v>256</v>
      </c>
      <c r="AE4" s="302" t="s">
        <v>257</v>
      </c>
      <c r="AF4" s="302"/>
      <c r="AG4" s="302" t="s">
        <v>38</v>
      </c>
      <c r="AH4" s="302" t="s">
        <v>260</v>
      </c>
      <c r="AI4" s="302" t="s">
        <v>261</v>
      </c>
      <c r="AJ4" s="302" t="s">
        <v>260</v>
      </c>
      <c r="AK4" s="302" t="s">
        <v>715</v>
      </c>
      <c r="AL4" s="302" t="s">
        <v>716</v>
      </c>
      <c r="AM4" s="302" t="s">
        <v>262</v>
      </c>
      <c r="AN4" s="302" t="s">
        <v>260</v>
      </c>
      <c r="AO4" s="607"/>
      <c r="AP4" s="607"/>
      <c r="AQ4" s="608"/>
      <c r="AR4" s="610"/>
      <c r="AS4" s="610"/>
      <c r="AT4" s="610"/>
      <c r="AU4" s="302" t="s">
        <v>164</v>
      </c>
      <c r="AV4" s="302" t="s">
        <v>36</v>
      </c>
      <c r="AW4" s="302" t="s">
        <v>5</v>
      </c>
      <c r="AX4" s="302" t="s">
        <v>3</v>
      </c>
      <c r="AY4" s="302" t="s">
        <v>165</v>
      </c>
      <c r="AZ4" s="302" t="s">
        <v>166</v>
      </c>
      <c r="BA4" s="302" t="s">
        <v>1578</v>
      </c>
      <c r="BB4" s="302"/>
      <c r="BC4" s="302"/>
      <c r="BD4" s="302"/>
      <c r="BE4" s="610"/>
      <c r="BF4" s="610"/>
      <c r="BG4" s="345" t="s">
        <v>37</v>
      </c>
      <c r="BH4" s="606"/>
      <c r="BI4" s="606"/>
      <c r="BJ4" s="606"/>
      <c r="BK4" s="606"/>
      <c r="BL4" s="606"/>
      <c r="BM4" s="606"/>
      <c r="BN4" s="606"/>
      <c r="BO4" s="606"/>
      <c r="BP4" s="606"/>
      <c r="BQ4" s="606"/>
      <c r="BR4" s="606"/>
      <c r="BS4" s="606"/>
      <c r="BT4" s="592"/>
      <c r="BU4" s="618"/>
      <c r="BY4" s="305"/>
      <c r="BZ4" s="306" t="str">
        <f>'AR-Hierarchy '!K4</f>
        <v>Basic Design</v>
      </c>
      <c r="CA4" s="306" t="str">
        <f>'AR-Hierarchy '!K5</f>
        <v>Standard Design</v>
      </c>
      <c r="CB4" s="306" t="str">
        <f>'AR-Hierarchy '!K6</f>
        <v xml:space="preserve">Superior Design </v>
      </c>
      <c r="CC4" s="306" t="str">
        <f>'AR-Hierarchy '!K7</f>
        <v>None</v>
      </c>
      <c r="CD4" s="306" t="str">
        <f>BZ4</f>
        <v>Basic Design</v>
      </c>
      <c r="CE4" s="306" t="str">
        <f>CA4</f>
        <v>Standard Design</v>
      </c>
      <c r="CF4" s="306" t="str">
        <f>CB4</f>
        <v xml:space="preserve">Superior Design </v>
      </c>
      <c r="CG4" s="305" t="s">
        <v>117</v>
      </c>
      <c r="CH4" s="307" t="str">
        <f>BY5</f>
        <v>Substructure</v>
      </c>
      <c r="CI4" s="308" t="str">
        <f>BY6</f>
        <v>Structure</v>
      </c>
      <c r="CJ4" s="308" t="str">
        <f>BY7</f>
        <v>Roofing</v>
      </c>
      <c r="CK4" s="307" t="str">
        <f>BY8</f>
        <v>Exterior Wall Cladding</v>
      </c>
      <c r="CL4" s="308" t="str">
        <f>BY9</f>
        <v>Fitouts</v>
      </c>
      <c r="CM4" s="309" t="str">
        <f>BY10</f>
        <v>Floor Covering</v>
      </c>
      <c r="CN4" s="310" t="str">
        <f>BY11</f>
        <v>Service Mechanical</v>
      </c>
      <c r="CO4" s="310" t="str">
        <f>BY12</f>
        <v>Services Electrical</v>
      </c>
      <c r="CP4" s="310" t="str">
        <f>BY13</f>
        <v>Services Sanitation</v>
      </c>
      <c r="CQ4" s="310" t="str">
        <f>BY14</f>
        <v>Services Water</v>
      </c>
      <c r="CR4" s="310" t="s">
        <v>823</v>
      </c>
      <c r="CS4" s="306" t="str">
        <f>CH4</f>
        <v>Substructure</v>
      </c>
      <c r="CT4" s="306" t="str">
        <f t="shared" ref="CT4:DB4" si="0">CI4</f>
        <v>Structure</v>
      </c>
      <c r="CU4" s="306" t="str">
        <f t="shared" si="0"/>
        <v>Roofing</v>
      </c>
      <c r="CV4" s="306" t="str">
        <f t="shared" si="0"/>
        <v>Exterior Wall Cladding</v>
      </c>
      <c r="CW4" s="306" t="str">
        <f t="shared" si="0"/>
        <v>Fitouts</v>
      </c>
      <c r="CX4" s="306" t="str">
        <f t="shared" si="0"/>
        <v>Floor Covering</v>
      </c>
      <c r="CY4" s="306" t="str">
        <f t="shared" si="0"/>
        <v>Service Mechanical</v>
      </c>
      <c r="CZ4" s="306" t="str">
        <f t="shared" si="0"/>
        <v>Services Electrical</v>
      </c>
      <c r="DA4" s="306" t="str">
        <f t="shared" si="0"/>
        <v>Services Sanitation</v>
      </c>
      <c r="DB4" s="306" t="str">
        <f t="shared" si="0"/>
        <v>Services Water</v>
      </c>
      <c r="DC4" s="306" t="s">
        <v>824</v>
      </c>
      <c r="DD4" s="307" t="s">
        <v>1028</v>
      </c>
      <c r="DE4" s="307" t="str">
        <f>CS4</f>
        <v>Substructure</v>
      </c>
      <c r="DF4" s="307" t="str">
        <f t="shared" ref="DF4:DN4" si="1">CT4</f>
        <v>Structure</v>
      </c>
      <c r="DG4" s="307" t="str">
        <f t="shared" si="1"/>
        <v>Roofing</v>
      </c>
      <c r="DH4" s="307" t="str">
        <f t="shared" si="1"/>
        <v>Exterior Wall Cladding</v>
      </c>
      <c r="DI4" s="307" t="str">
        <f t="shared" si="1"/>
        <v>Fitouts</v>
      </c>
      <c r="DJ4" s="307" t="str">
        <f t="shared" si="1"/>
        <v>Floor Covering</v>
      </c>
      <c r="DK4" s="307" t="str">
        <f t="shared" si="1"/>
        <v>Service Mechanical</v>
      </c>
      <c r="DL4" s="307" t="str">
        <f t="shared" si="1"/>
        <v>Services Electrical</v>
      </c>
      <c r="DM4" s="307" t="str">
        <f t="shared" si="1"/>
        <v>Services Sanitation</v>
      </c>
      <c r="DN4" s="307" t="str">
        <f t="shared" si="1"/>
        <v>Services Water</v>
      </c>
      <c r="DO4" s="311" t="str">
        <f>DE4</f>
        <v>Substructure</v>
      </c>
      <c r="DP4" s="311" t="str">
        <f t="shared" ref="DP4:DX4" si="2">DF4</f>
        <v>Structure</v>
      </c>
      <c r="DQ4" s="311" t="str">
        <f t="shared" si="2"/>
        <v>Roofing</v>
      </c>
      <c r="DR4" s="311" t="str">
        <f t="shared" si="2"/>
        <v>Exterior Wall Cladding</v>
      </c>
      <c r="DS4" s="311" t="str">
        <f t="shared" si="2"/>
        <v>Fitouts</v>
      </c>
      <c r="DT4" s="311" t="str">
        <f t="shared" si="2"/>
        <v>Floor Covering</v>
      </c>
      <c r="DU4" s="311" t="str">
        <f t="shared" si="2"/>
        <v>Service Mechanical</v>
      </c>
      <c r="DV4" s="311" t="str">
        <f t="shared" si="2"/>
        <v>Services Electrical</v>
      </c>
      <c r="DW4" s="311" t="str">
        <f t="shared" si="2"/>
        <v>Services Sanitation</v>
      </c>
      <c r="DX4" s="311" t="str">
        <f t="shared" si="2"/>
        <v>Services Water</v>
      </c>
      <c r="DY4" s="311" t="s">
        <v>1021</v>
      </c>
      <c r="DZ4" s="310" t="str">
        <f>DO4</f>
        <v>Substructure</v>
      </c>
      <c r="EA4" s="310" t="str">
        <f t="shared" ref="EA4:EI4" si="3">DP4</f>
        <v>Structure</v>
      </c>
      <c r="EB4" s="310" t="str">
        <f t="shared" si="3"/>
        <v>Roofing</v>
      </c>
      <c r="EC4" s="310" t="str">
        <f t="shared" si="3"/>
        <v>Exterior Wall Cladding</v>
      </c>
      <c r="ED4" s="310" t="str">
        <f t="shared" si="3"/>
        <v>Fitouts</v>
      </c>
      <c r="EE4" s="310" t="str">
        <f t="shared" si="3"/>
        <v>Floor Covering</v>
      </c>
      <c r="EF4" s="310" t="str">
        <f t="shared" si="3"/>
        <v>Service Mechanical</v>
      </c>
      <c r="EG4" s="310" t="str">
        <f t="shared" si="3"/>
        <v>Services Electrical</v>
      </c>
      <c r="EH4" s="310" t="str">
        <f t="shared" si="3"/>
        <v>Services Sanitation</v>
      </c>
      <c r="EI4" s="310" t="str">
        <f t="shared" si="3"/>
        <v>Services Water</v>
      </c>
      <c r="EJ4" s="310" t="s">
        <v>1021</v>
      </c>
      <c r="EK4" s="311" t="str">
        <f>DZ4</f>
        <v>Substructure</v>
      </c>
      <c r="EL4" s="311" t="str">
        <f t="shared" ref="EL4:ET4" si="4">EA4</f>
        <v>Structure</v>
      </c>
      <c r="EM4" s="311" t="str">
        <f t="shared" si="4"/>
        <v>Roofing</v>
      </c>
      <c r="EN4" s="311" t="str">
        <f t="shared" si="4"/>
        <v>Exterior Wall Cladding</v>
      </c>
      <c r="EO4" s="311" t="str">
        <f t="shared" si="4"/>
        <v>Fitouts</v>
      </c>
      <c r="EP4" s="311" t="str">
        <f t="shared" si="4"/>
        <v>Floor Covering</v>
      </c>
      <c r="EQ4" s="311" t="str">
        <f t="shared" si="4"/>
        <v>Service Mechanical</v>
      </c>
      <c r="ER4" s="311" t="str">
        <f t="shared" si="4"/>
        <v>Services Electrical</v>
      </c>
      <c r="ES4" s="311" t="str">
        <f t="shared" si="4"/>
        <v>Services Sanitation</v>
      </c>
      <c r="ET4" s="311" t="str">
        <f t="shared" si="4"/>
        <v>Services Water</v>
      </c>
      <c r="EU4" s="311" t="s">
        <v>52</v>
      </c>
      <c r="EV4" s="619"/>
      <c r="EW4" s="619"/>
      <c r="EX4" s="619"/>
      <c r="EY4" s="619"/>
      <c r="EZ4" s="619"/>
      <c r="FA4" s="619"/>
      <c r="FB4" s="619"/>
    </row>
    <row r="5" spans="1:165" ht="35" customHeight="1" thickTop="1" thickBot="1" x14ac:dyDescent="0.35">
      <c r="A5" s="312" t="s">
        <v>1779</v>
      </c>
      <c r="B5" s="313" t="s">
        <v>1107</v>
      </c>
      <c r="C5" s="313" t="s">
        <v>324</v>
      </c>
      <c r="D5" s="313" t="s">
        <v>79</v>
      </c>
      <c r="E5" s="313" t="s">
        <v>8</v>
      </c>
      <c r="F5" s="313" t="s">
        <v>945</v>
      </c>
      <c r="G5" s="313" t="s">
        <v>724</v>
      </c>
      <c r="H5" s="313" t="s">
        <v>1019</v>
      </c>
      <c r="I5" s="313" t="s">
        <v>1020</v>
      </c>
      <c r="J5" s="313" t="s">
        <v>1045</v>
      </c>
      <c r="K5" s="313" t="s">
        <v>1046</v>
      </c>
      <c r="L5" s="313" t="s">
        <v>1055</v>
      </c>
      <c r="M5" s="313" t="s">
        <v>1059</v>
      </c>
      <c r="N5" s="313" t="s">
        <v>1069</v>
      </c>
      <c r="O5" s="313" t="s">
        <v>1371</v>
      </c>
      <c r="P5" s="313" t="s">
        <v>1077</v>
      </c>
      <c r="Q5" s="313" t="s">
        <v>1082</v>
      </c>
      <c r="R5" s="313" t="s">
        <v>1086</v>
      </c>
      <c r="S5" s="313" t="s">
        <v>1089</v>
      </c>
      <c r="T5" s="313" t="s">
        <v>104</v>
      </c>
      <c r="U5" s="313" t="s">
        <v>104</v>
      </c>
      <c r="V5" s="313" t="s">
        <v>104</v>
      </c>
      <c r="W5" s="313" t="s">
        <v>104</v>
      </c>
      <c r="X5" s="313" t="s">
        <v>104</v>
      </c>
      <c r="Y5" s="313" t="s">
        <v>104</v>
      </c>
      <c r="Z5" s="313" t="s">
        <v>104</v>
      </c>
      <c r="AA5" s="313" t="s">
        <v>104</v>
      </c>
      <c r="AB5" s="313" t="s">
        <v>104</v>
      </c>
      <c r="AC5" s="313" t="s">
        <v>104</v>
      </c>
      <c r="AD5" s="313" t="s">
        <v>1771</v>
      </c>
      <c r="AE5" s="313">
        <v>375</v>
      </c>
      <c r="AF5" s="313">
        <f>'GRC and TUL Assumptions'!G6</f>
        <v>60</v>
      </c>
      <c r="AG5" s="314">
        <v>1975</v>
      </c>
      <c r="AH5" s="313" t="s">
        <v>800</v>
      </c>
      <c r="AI5" s="313">
        <f>AG5</f>
        <v>1975</v>
      </c>
      <c r="AJ5" s="313" t="str">
        <f>AH5</f>
        <v>Estimated</v>
      </c>
      <c r="AK5" s="313">
        <v>2015</v>
      </c>
      <c r="AL5" s="313" t="s">
        <v>1386</v>
      </c>
      <c r="AM5" s="315">
        <f>DC5+EW5</f>
        <v>249475.91763126428</v>
      </c>
      <c r="AN5" s="315" t="s">
        <v>800</v>
      </c>
      <c r="AO5" s="509">
        <f>EJ5+FA5</f>
        <v>130044.04833919993</v>
      </c>
      <c r="AP5" s="509">
        <f>AM5-AO5</f>
        <v>119431.86929206435</v>
      </c>
      <c r="AQ5" s="509">
        <f>EU5+FB5</f>
        <v>6494.7591763126429</v>
      </c>
      <c r="AR5" s="509">
        <f>AP5-AQ5</f>
        <v>112937.11011575171</v>
      </c>
      <c r="AS5" s="509">
        <f>HLOOKUP($C$1,'Inflation Adjustments'!$BI$3:$BT$4,2)*CR5</f>
        <v>1259526.2695312498</v>
      </c>
      <c r="AT5" s="509">
        <f>IF(BU5="In Service",'Maintenace Cost Assumptions'!$B$3*AS5,0)</f>
        <v>6297.6313476562491</v>
      </c>
      <c r="AU5" s="318">
        <v>4</v>
      </c>
      <c r="AV5" s="318">
        <v>4</v>
      </c>
      <c r="AW5" s="318">
        <v>4</v>
      </c>
      <c r="AX5" s="318">
        <v>4</v>
      </c>
      <c r="AY5" s="318">
        <v>3</v>
      </c>
      <c r="AZ5" s="318">
        <v>4</v>
      </c>
      <c r="BA5" s="318">
        <v>2</v>
      </c>
      <c r="BB5" s="313"/>
      <c r="BC5" s="313"/>
      <c r="BD5" s="313"/>
      <c r="BE5" s="318">
        <v>4</v>
      </c>
      <c r="BF5" s="313"/>
      <c r="BG5" s="319">
        <f>(AU5*'Condition rating weights'!H$8+AV5*'Condition rating weights'!I$8+AW5*'Condition rating weights'!J$8+AX5*'Condition rating weights'!K$8+AY5*'Condition rating weights'!L$8+AZ5*'Condition rating weights'!M$8+BA5*'Condition rating weights'!N$8+BB5*'Condition rating weights'!O$8+BC5*'Condition rating weights'!P$8+BD5*'Condition rating weights'!Q$8+BE5*'Condition rating weights'!R$8+BF5*'Condition rating weights'!S$8)/100</f>
        <v>0.75</v>
      </c>
      <c r="BH5" s="320">
        <v>1</v>
      </c>
      <c r="BI5" s="320">
        <v>211</v>
      </c>
      <c r="BJ5" s="320" t="s">
        <v>12</v>
      </c>
      <c r="BK5" s="320" t="s">
        <v>959</v>
      </c>
      <c r="BL5" s="320" t="s">
        <v>960</v>
      </c>
      <c r="BM5" s="320" t="s">
        <v>961</v>
      </c>
      <c r="BN5" s="320" t="s">
        <v>117</v>
      </c>
      <c r="BO5" s="320" t="s">
        <v>962</v>
      </c>
      <c r="BP5" s="320" t="s">
        <v>962</v>
      </c>
      <c r="BQ5" s="320" t="s">
        <v>963</v>
      </c>
      <c r="BR5" s="320" t="s">
        <v>964</v>
      </c>
      <c r="BS5" s="320" t="s">
        <v>964</v>
      </c>
      <c r="BT5" s="321" t="s">
        <v>965</v>
      </c>
      <c r="BU5" s="387" t="s">
        <v>1430</v>
      </c>
      <c r="BV5" s="346"/>
      <c r="BY5" s="306" t="str">
        <f>'GRC and TUL Assumptions'!A5</f>
        <v>Substructure</v>
      </c>
      <c r="BZ5" s="305">
        <f>'GRC and TUL Assumptions'!C5</f>
        <v>150</v>
      </c>
      <c r="CA5" s="305">
        <f>'GRC and TUL Assumptions'!D5</f>
        <v>200</v>
      </c>
      <c r="CB5" s="305">
        <f>'GRC and TUL Assumptions'!E5</f>
        <v>300</v>
      </c>
      <c r="CC5" s="305">
        <v>0</v>
      </c>
      <c r="CD5" s="305">
        <f>'GRC and TUL Assumptions'!F5</f>
        <v>40</v>
      </c>
      <c r="CE5" s="305">
        <f>'GRC and TUL Assumptions'!G5</f>
        <v>60</v>
      </c>
      <c r="CF5" s="305">
        <f>'GRC and TUL Assumptions'!H5</f>
        <v>60</v>
      </c>
      <c r="CG5" s="305">
        <f>CD5</f>
        <v>40</v>
      </c>
      <c r="CH5" s="323">
        <f t="shared" ref="CH5:CH20" si="5">(HLOOKUP(T5,$BZ$4:$CC$14,2,TRUE))*$AE5</f>
        <v>75000</v>
      </c>
      <c r="CI5" s="323">
        <f t="shared" ref="CI5:CI20" si="6">(HLOOKUP(U5,$BZ$4:$CD$14,3,TRUE))*$AE5</f>
        <v>300000</v>
      </c>
      <c r="CJ5" s="323">
        <f t="shared" ref="CJ5:CJ20" si="7">(HLOOKUP(V5,$BZ$4:$CD$14,4,TRUE))*$AE5</f>
        <v>56250</v>
      </c>
      <c r="CK5" s="323">
        <f t="shared" ref="CK5:CK20" si="8">(HLOOKUP(W5,$BZ$4:$CD$14,5,FALSE))*$AE5</f>
        <v>86250</v>
      </c>
      <c r="CL5" s="323">
        <f t="shared" ref="CL5:CL20" si="9">(HLOOKUP(X5,$BZ$4:$CD$14,6,FALSE))*$AE5</f>
        <v>131250</v>
      </c>
      <c r="CM5" s="323">
        <f t="shared" ref="CM5:CM20" si="10">(HLOOKUP(Y5,$BZ$4:$CD$14,7,FALSE))*$AE5</f>
        <v>56250</v>
      </c>
      <c r="CN5" s="323">
        <f t="shared" ref="CN5:CN20" si="11">(HLOOKUP(Z5,$BZ$4:$CD$14,8,FALSE))*$AE5</f>
        <v>37500</v>
      </c>
      <c r="CO5" s="323">
        <f t="shared" ref="CO5:CO20" si="12">(HLOOKUP(AA5,$BZ$4:$CD$14,9,FALSE))*$AE5</f>
        <v>37500</v>
      </c>
      <c r="CP5" s="323">
        <f t="shared" ref="CP5:CP20" si="13">(HLOOKUP(AB5,$BZ$4:$CD$14,10,FALSE))*$AE5</f>
        <v>48750</v>
      </c>
      <c r="CQ5" s="323">
        <f t="shared" ref="CQ5:CQ20" si="14">(HLOOKUP(AC5,$BZ$4:$CD$14,11,FALSE))*$AE5</f>
        <v>15000</v>
      </c>
      <c r="CR5" s="324">
        <f>SUM(CH5:CQ5)</f>
        <v>843750</v>
      </c>
      <c r="CS5" s="325">
        <f>(HLOOKUP($AI5,'Inflation Adjustments'!$M$3:$BT$4,2,TRUE))*CH5</f>
        <v>13286.748233890157</v>
      </c>
      <c r="CT5" s="325">
        <f>(HLOOKUP($AI5,'Inflation Adjustments'!$M$3:$BT$4,2,TRUE))*CI5</f>
        <v>53146.992935560629</v>
      </c>
      <c r="CU5" s="325">
        <f>(HLOOKUP($AI5,'Inflation Adjustments'!$M$3:$BT$4,2,TRUE))*CJ5</f>
        <v>9965.0611754176189</v>
      </c>
      <c r="CV5" s="325">
        <f>(HLOOKUP($AI5,'Inflation Adjustments'!$M$3:$BT$4,2,TRUE))*CK5</f>
        <v>15279.760468973682</v>
      </c>
      <c r="CW5" s="325">
        <f>(HLOOKUP($AI5,'Inflation Adjustments'!$M$3:$BT$4,2,TRUE))*CL5</f>
        <v>23251.809409307774</v>
      </c>
      <c r="CX5" s="325">
        <f>(HLOOKUP($AI5,'Inflation Adjustments'!$M$3:$BT$4,2,TRUE))*CM5</f>
        <v>9965.0611754176189</v>
      </c>
      <c r="CY5" s="325">
        <f>(HLOOKUP($AI5,'Inflation Adjustments'!$M$3:$BT$4,2,TRUE))*CN5</f>
        <v>6643.3741169450786</v>
      </c>
      <c r="CZ5" s="325">
        <f>(HLOOKUP($AI5,'Inflation Adjustments'!$M$3:$BT$4,2,TRUE))*CO5</f>
        <v>6643.3741169450786</v>
      </c>
      <c r="DA5" s="325">
        <f>(HLOOKUP($AI5,'Inflation Adjustments'!$M$3:$BT$4,2,TRUE))*CP5</f>
        <v>8636.3863520286031</v>
      </c>
      <c r="DB5" s="325">
        <f>(HLOOKUP($AI5,'Inflation Adjustments'!$M$3:$BT$4,2,TRUE))*CQ5</f>
        <v>2657.3496467780315</v>
      </c>
      <c r="DC5" s="325">
        <f>SUM(CS5:DB5)</f>
        <v>149475.91763126428</v>
      </c>
      <c r="DD5" s="326">
        <f t="shared" ref="DD5:DD20" si="15">IF(($C$1-AI5-1)&lt;0,0,$C$1-AI5-1)</f>
        <v>47</v>
      </c>
      <c r="DE5" s="323">
        <f t="shared" ref="DE5:DE20" si="16">(HLOOKUP(T5,$CD$4:$CG$14,2,FALSE))</f>
        <v>60</v>
      </c>
      <c r="DF5" s="323">
        <f t="shared" ref="DF5:DF20" si="17">(HLOOKUP(U5,$CD$4:$CG$14,3,FALSE))</f>
        <v>60</v>
      </c>
      <c r="DG5" s="323">
        <f t="shared" ref="DG5:DG20" si="18">(HLOOKUP(V5,$CD$4:$CG$14,4,FALSE))</f>
        <v>20</v>
      </c>
      <c r="DH5" s="323">
        <f t="shared" ref="DH5:DH20" si="19">(HLOOKUP(W5,$CD$4:$CG$14,5,FALSE))</f>
        <v>30</v>
      </c>
      <c r="DI5" s="323">
        <f t="shared" ref="DI5:DI20" si="20">(HLOOKUP(X5,$CD$4:$CG$14,6,FALSE))</f>
        <v>60</v>
      </c>
      <c r="DJ5" s="323">
        <f t="shared" ref="DJ5:DJ20" si="21">(HLOOKUP(Y5,$CD$4:$CG$14,7,FALSE))</f>
        <v>30</v>
      </c>
      <c r="DK5" s="323">
        <f t="shared" ref="DK5:DK20" si="22">(HLOOKUP(Z5,$CD$4:$CG$14,8,FALSE))</f>
        <v>20</v>
      </c>
      <c r="DL5" s="323">
        <f t="shared" ref="DL5:DL20" si="23">(HLOOKUP(AA5,$CD$4:$CG$14,8,FALSE))</f>
        <v>20</v>
      </c>
      <c r="DM5" s="323">
        <f t="shared" ref="DM5:DM20" si="24">(HLOOKUP(AB5,$CD$4:$CG$14,9))</f>
        <v>30</v>
      </c>
      <c r="DN5" s="323">
        <f t="shared" ref="DN5:DN20" si="25">(HLOOKUP(AC5,$CD$4:$CG$14,10))</f>
        <v>30</v>
      </c>
      <c r="DO5" s="327">
        <f t="shared" ref="DO5:DO20" si="26">CS5/DE5</f>
        <v>221.44580389816929</v>
      </c>
      <c r="DP5" s="327">
        <f t="shared" ref="DP5:DX16" si="27">CT5/DF5</f>
        <v>885.78321559267715</v>
      </c>
      <c r="DQ5" s="327">
        <f t="shared" si="27"/>
        <v>498.25305877088095</v>
      </c>
      <c r="DR5" s="327">
        <f t="shared" si="27"/>
        <v>509.32534896578937</v>
      </c>
      <c r="DS5" s="327">
        <f t="shared" si="27"/>
        <v>387.53015682179625</v>
      </c>
      <c r="DT5" s="327">
        <f t="shared" si="27"/>
        <v>332.16870584725399</v>
      </c>
      <c r="DU5" s="327">
        <f t="shared" si="27"/>
        <v>332.16870584725393</v>
      </c>
      <c r="DV5" s="327">
        <f t="shared" si="27"/>
        <v>332.16870584725393</v>
      </c>
      <c r="DW5" s="327">
        <f t="shared" si="27"/>
        <v>287.87954506762009</v>
      </c>
      <c r="DX5" s="327">
        <f t="shared" si="27"/>
        <v>88.578321559267721</v>
      </c>
      <c r="DY5" s="327">
        <f>SUM(DO5:DX5)</f>
        <v>3875.3015682179625</v>
      </c>
      <c r="DZ5" s="323">
        <f t="shared" ref="DZ5:DZ20" si="28">IF(DO5*$DD5&gt;CS5,CS5,DO5*$DD5)</f>
        <v>10407.952783213957</v>
      </c>
      <c r="EA5" s="323">
        <f t="shared" ref="EA5:EI16" si="29">IF(DP5*$DD5&gt;CT5,CT5,DP5*$DD5)</f>
        <v>41631.81113285583</v>
      </c>
      <c r="EB5" s="323">
        <f t="shared" si="29"/>
        <v>9965.0611754176189</v>
      </c>
      <c r="EC5" s="323">
        <f t="shared" si="29"/>
        <v>15279.760468973682</v>
      </c>
      <c r="ED5" s="323">
        <f t="shared" si="29"/>
        <v>18213.917370624426</v>
      </c>
      <c r="EE5" s="323">
        <f t="shared" si="29"/>
        <v>9965.0611754176189</v>
      </c>
      <c r="EF5" s="323">
        <f t="shared" si="29"/>
        <v>6643.3741169450786</v>
      </c>
      <c r="EG5" s="323">
        <f t="shared" si="29"/>
        <v>6643.3741169450786</v>
      </c>
      <c r="EH5" s="323">
        <f t="shared" si="29"/>
        <v>8636.3863520286031</v>
      </c>
      <c r="EI5" s="323">
        <f t="shared" si="29"/>
        <v>2657.3496467780315</v>
      </c>
      <c r="EJ5" s="324">
        <f>SUM(DZ5:EI5)</f>
        <v>130044.04833919993</v>
      </c>
      <c r="EK5" s="327">
        <f t="shared" ref="EK5:EK20" si="30">IF(DO5&lt;(CS5-DZ5),DO5,(CS5-DZ5))</f>
        <v>221.44580389816929</v>
      </c>
      <c r="EL5" s="327">
        <f t="shared" ref="EL5:ET16" si="31">IF(DP5&lt;(CT5-EA5),DP5,(CT5-EA5))</f>
        <v>885.78321559267715</v>
      </c>
      <c r="EM5" s="327">
        <f t="shared" si="31"/>
        <v>0</v>
      </c>
      <c r="EN5" s="327">
        <f t="shared" si="31"/>
        <v>0</v>
      </c>
      <c r="EO5" s="327">
        <f t="shared" si="31"/>
        <v>387.53015682179625</v>
      </c>
      <c r="EP5" s="327">
        <f t="shared" si="31"/>
        <v>0</v>
      </c>
      <c r="EQ5" s="327">
        <f t="shared" si="31"/>
        <v>0</v>
      </c>
      <c r="ER5" s="327">
        <f t="shared" si="31"/>
        <v>0</v>
      </c>
      <c r="ES5" s="327">
        <f t="shared" si="31"/>
        <v>0</v>
      </c>
      <c r="ET5" s="327">
        <f t="shared" si="31"/>
        <v>0</v>
      </c>
      <c r="EU5" s="325">
        <f>SUM(EK5:ET5)</f>
        <v>1494.7591763126427</v>
      </c>
      <c r="EV5" s="328">
        <f>AK5</f>
        <v>2015</v>
      </c>
      <c r="EW5" s="324">
        <v>100000</v>
      </c>
      <c r="EX5" s="328">
        <f>DG5</f>
        <v>20</v>
      </c>
      <c r="EY5" s="328"/>
      <c r="EZ5" s="323">
        <f>EW5/EX5</f>
        <v>5000</v>
      </c>
      <c r="FA5" s="323">
        <f>IF(EY5*EZ5&lt;EW5,EY5*EZ5,EW5)</f>
        <v>0</v>
      </c>
      <c r="FB5" s="323">
        <f>IF(EZ5&lt;(EW5-FA5),EZ5,(E46-FA5))</f>
        <v>5000</v>
      </c>
      <c r="FD5" s="589" t="s">
        <v>1671</v>
      </c>
      <c r="FE5" s="589"/>
      <c r="FF5" s="589"/>
      <c r="FG5" s="589"/>
      <c r="FH5" s="589"/>
      <c r="FI5" s="589"/>
    </row>
    <row r="6" spans="1:165" ht="70.5" customHeight="1" thickTop="1" thickBot="1" x14ac:dyDescent="0.35">
      <c r="A6" s="330"/>
      <c r="B6" s="318"/>
      <c r="C6" s="318"/>
      <c r="D6" s="318"/>
      <c r="E6" s="318"/>
      <c r="F6" s="318"/>
      <c r="G6" s="318"/>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7"/>
      <c r="AN6" s="317"/>
      <c r="AO6" s="511" t="e">
        <f t="shared" ref="AO6:AO9" si="32">EJ6+FA6</f>
        <v>#N/A</v>
      </c>
      <c r="AP6" s="511" t="e">
        <f t="shared" ref="AP6:AP9" si="33">AM6-AO6</f>
        <v>#N/A</v>
      </c>
      <c r="AQ6" s="511" t="e">
        <f t="shared" ref="AQ6:AQ9" si="34">EU6+FB6</f>
        <v>#N/A</v>
      </c>
      <c r="AR6" s="511" t="e">
        <f t="shared" ref="AR6:AR9" si="35">AP6-AQ6</f>
        <v>#N/A</v>
      </c>
      <c r="AS6" s="511" t="e">
        <f>HLOOKUP($C$1,'Inflation Adjustments'!$BI$3:$BT$4,2)*CR6</f>
        <v>#N/A</v>
      </c>
      <c r="AT6" s="511">
        <f>IF(BU6="In Service",'Maintenace Cost Assumptions'!$B$3*AS6,0)</f>
        <v>0</v>
      </c>
      <c r="AU6" s="318"/>
      <c r="AV6" s="318"/>
      <c r="AW6" s="318"/>
      <c r="AX6" s="318"/>
      <c r="AY6" s="318"/>
      <c r="AZ6" s="318"/>
      <c r="BA6" s="318"/>
      <c r="BB6" s="318"/>
      <c r="BC6" s="318"/>
      <c r="BD6" s="318"/>
      <c r="BE6" s="318"/>
      <c r="BF6" s="318"/>
      <c r="BG6" s="319">
        <f>(AU6*'Condition rating weights'!H$8+AV6*'Condition rating weights'!I$8+AW6*'Condition rating weights'!J$8+AX6*'Condition rating weights'!K$8+AY6*'Condition rating weights'!L$8+AZ6*'Condition rating weights'!M$8+BA6*'Condition rating weights'!N$8+BB6*'Condition rating weights'!O$8+BC6*'Condition rating weights'!P$8+BD6*'Condition rating weights'!Q$8+BE6*'Condition rating weights'!R$8+BF6*'Condition rating weights'!S$8)/100</f>
        <v>0</v>
      </c>
      <c r="BH6" s="333"/>
      <c r="BI6" s="333"/>
      <c r="BJ6" s="333"/>
      <c r="BK6" s="333"/>
      <c r="BL6" s="333"/>
      <c r="BM6" s="333"/>
      <c r="BN6" s="333"/>
      <c r="BO6" s="333"/>
      <c r="BP6" s="333"/>
      <c r="BQ6" s="333"/>
      <c r="BR6" s="333"/>
      <c r="BS6" s="333"/>
      <c r="BT6" s="334"/>
      <c r="BU6" s="335"/>
      <c r="BV6" s="255"/>
      <c r="BY6" s="306" t="str">
        <f>'GRC and TUL Assumptions'!A6</f>
        <v>Structure</v>
      </c>
      <c r="BZ6" s="305">
        <f>'GRC and TUL Assumptions'!C6</f>
        <v>500</v>
      </c>
      <c r="CA6" s="305">
        <f>'GRC and TUL Assumptions'!D6</f>
        <v>800</v>
      </c>
      <c r="CB6" s="305">
        <f>'GRC and TUL Assumptions'!E6</f>
        <v>1500</v>
      </c>
      <c r="CC6" s="305">
        <v>0</v>
      </c>
      <c r="CD6" s="305">
        <f>'GRC and TUL Assumptions'!F6</f>
        <v>40</v>
      </c>
      <c r="CE6" s="305">
        <f>'GRC and TUL Assumptions'!G6</f>
        <v>60</v>
      </c>
      <c r="CF6" s="305">
        <f>'GRC and TUL Assumptions'!H6</f>
        <v>60</v>
      </c>
      <c r="CG6" s="305">
        <f t="shared" ref="CG6:CG14" si="36">CD6</f>
        <v>40</v>
      </c>
      <c r="CH6" s="323" t="e">
        <f t="shared" si="5"/>
        <v>#N/A</v>
      </c>
      <c r="CI6" s="323" t="e">
        <f t="shared" si="6"/>
        <v>#N/A</v>
      </c>
      <c r="CJ6" s="323" t="e">
        <f t="shared" si="7"/>
        <v>#N/A</v>
      </c>
      <c r="CK6" s="323" t="e">
        <f t="shared" si="8"/>
        <v>#N/A</v>
      </c>
      <c r="CL6" s="323" t="e">
        <f t="shared" si="9"/>
        <v>#N/A</v>
      </c>
      <c r="CM6" s="323" t="e">
        <f t="shared" si="10"/>
        <v>#N/A</v>
      </c>
      <c r="CN6" s="323" t="e">
        <f t="shared" si="11"/>
        <v>#N/A</v>
      </c>
      <c r="CO6" s="323" t="e">
        <f t="shared" si="12"/>
        <v>#N/A</v>
      </c>
      <c r="CP6" s="323" t="e">
        <f t="shared" si="13"/>
        <v>#N/A</v>
      </c>
      <c r="CQ6" s="323" t="e">
        <f t="shared" si="14"/>
        <v>#N/A</v>
      </c>
      <c r="CR6" s="324" t="e">
        <f t="shared" ref="CR6:CR20" si="37">SUM(CH6:CQ6)</f>
        <v>#N/A</v>
      </c>
      <c r="CS6" s="325" t="e">
        <f>(HLOOKUP($AI6,'Inflation Adjustments'!$M$3:$BT$4,2,TRUE))*CH6</f>
        <v>#N/A</v>
      </c>
      <c r="CT6" s="325" t="e">
        <f>(HLOOKUP($AI6,'Inflation Adjustments'!$M$3:$BT$4,2,TRUE))*CI6</f>
        <v>#N/A</v>
      </c>
      <c r="CU6" s="325" t="e">
        <f>(HLOOKUP($AI6,'Inflation Adjustments'!$M$3:$BT$4,2,TRUE))*CJ6</f>
        <v>#N/A</v>
      </c>
      <c r="CV6" s="325" t="e">
        <f>(HLOOKUP($AI6,'Inflation Adjustments'!$M$3:$BT$4,2,TRUE))*CK6</f>
        <v>#N/A</v>
      </c>
      <c r="CW6" s="325" t="e">
        <f>(HLOOKUP($AI6,'Inflation Adjustments'!$M$3:$BT$4,2,TRUE))*CL6</f>
        <v>#N/A</v>
      </c>
      <c r="CX6" s="325" t="e">
        <f>(HLOOKUP($AI6,'Inflation Adjustments'!$M$3:$BT$4,2,TRUE))*CM6</f>
        <v>#N/A</v>
      </c>
      <c r="CY6" s="325" t="e">
        <f>(HLOOKUP($AI6,'Inflation Adjustments'!$M$3:$BT$4,2,TRUE))*CN6</f>
        <v>#N/A</v>
      </c>
      <c r="CZ6" s="325" t="e">
        <f>(HLOOKUP($AI6,'Inflation Adjustments'!$M$3:$BT$4,2,TRUE))*CO6</f>
        <v>#N/A</v>
      </c>
      <c r="DA6" s="325" t="e">
        <f>(HLOOKUP($AI6,'Inflation Adjustments'!$M$3:$BT$4,2,TRUE))*CP6</f>
        <v>#N/A</v>
      </c>
      <c r="DB6" s="325" t="e">
        <f>(HLOOKUP($AI6,'Inflation Adjustments'!$M$3:$BT$4,2,TRUE))*CQ6</f>
        <v>#N/A</v>
      </c>
      <c r="DC6" s="325" t="e">
        <f t="shared" ref="DC6:DC20" si="38">SUM(CS6:DB6)</f>
        <v>#N/A</v>
      </c>
      <c r="DD6" s="326">
        <f t="shared" si="15"/>
        <v>2022</v>
      </c>
      <c r="DE6" s="323" t="e">
        <f t="shared" si="16"/>
        <v>#N/A</v>
      </c>
      <c r="DF6" s="323" t="e">
        <f t="shared" si="17"/>
        <v>#N/A</v>
      </c>
      <c r="DG6" s="323" t="e">
        <f t="shared" si="18"/>
        <v>#N/A</v>
      </c>
      <c r="DH6" s="323" t="e">
        <f t="shared" si="19"/>
        <v>#N/A</v>
      </c>
      <c r="DI6" s="323" t="e">
        <f t="shared" si="20"/>
        <v>#N/A</v>
      </c>
      <c r="DJ6" s="323" t="e">
        <f t="shared" si="21"/>
        <v>#N/A</v>
      </c>
      <c r="DK6" s="323" t="e">
        <f t="shared" si="22"/>
        <v>#N/A</v>
      </c>
      <c r="DL6" s="323" t="e">
        <f t="shared" si="23"/>
        <v>#N/A</v>
      </c>
      <c r="DM6" s="323" t="e">
        <f t="shared" si="24"/>
        <v>#N/A</v>
      </c>
      <c r="DN6" s="323" t="e">
        <f t="shared" si="25"/>
        <v>#N/A</v>
      </c>
      <c r="DO6" s="327" t="e">
        <f t="shared" si="26"/>
        <v>#N/A</v>
      </c>
      <c r="DP6" s="327" t="e">
        <f t="shared" si="27"/>
        <v>#N/A</v>
      </c>
      <c r="DQ6" s="327" t="e">
        <f t="shared" si="27"/>
        <v>#N/A</v>
      </c>
      <c r="DR6" s="327" t="e">
        <f t="shared" si="27"/>
        <v>#N/A</v>
      </c>
      <c r="DS6" s="327" t="e">
        <f t="shared" si="27"/>
        <v>#N/A</v>
      </c>
      <c r="DT6" s="327" t="e">
        <f t="shared" si="27"/>
        <v>#N/A</v>
      </c>
      <c r="DU6" s="327" t="e">
        <f t="shared" si="27"/>
        <v>#N/A</v>
      </c>
      <c r="DV6" s="327" t="e">
        <f t="shared" si="27"/>
        <v>#N/A</v>
      </c>
      <c r="DW6" s="327" t="e">
        <f t="shared" si="27"/>
        <v>#N/A</v>
      </c>
      <c r="DX6" s="327" t="e">
        <f t="shared" si="27"/>
        <v>#N/A</v>
      </c>
      <c r="DY6" s="327" t="e">
        <f t="shared" ref="DY6:DY20" si="39">SUM(DO6:DX6)</f>
        <v>#N/A</v>
      </c>
      <c r="DZ6" s="323" t="e">
        <f t="shared" si="28"/>
        <v>#N/A</v>
      </c>
      <c r="EA6" s="323" t="e">
        <f t="shared" si="29"/>
        <v>#N/A</v>
      </c>
      <c r="EB6" s="323" t="e">
        <f t="shared" si="29"/>
        <v>#N/A</v>
      </c>
      <c r="EC6" s="323" t="e">
        <f t="shared" si="29"/>
        <v>#N/A</v>
      </c>
      <c r="ED6" s="323" t="e">
        <f t="shared" si="29"/>
        <v>#N/A</v>
      </c>
      <c r="EE6" s="323" t="e">
        <f t="shared" si="29"/>
        <v>#N/A</v>
      </c>
      <c r="EF6" s="323" t="e">
        <f t="shared" si="29"/>
        <v>#N/A</v>
      </c>
      <c r="EG6" s="323" t="e">
        <f t="shared" si="29"/>
        <v>#N/A</v>
      </c>
      <c r="EH6" s="323" t="e">
        <f t="shared" si="29"/>
        <v>#N/A</v>
      </c>
      <c r="EI6" s="323" t="e">
        <f t="shared" si="29"/>
        <v>#N/A</v>
      </c>
      <c r="EJ6" s="324" t="e">
        <f t="shared" ref="EJ6:EJ20" si="40">SUM(DZ6:EI6)</f>
        <v>#N/A</v>
      </c>
      <c r="EK6" s="327" t="e">
        <f t="shared" si="30"/>
        <v>#N/A</v>
      </c>
      <c r="EL6" s="327" t="e">
        <f t="shared" si="31"/>
        <v>#N/A</v>
      </c>
      <c r="EM6" s="327" t="e">
        <f t="shared" si="31"/>
        <v>#N/A</v>
      </c>
      <c r="EN6" s="327" t="e">
        <f t="shared" si="31"/>
        <v>#N/A</v>
      </c>
      <c r="EO6" s="327" t="e">
        <f t="shared" si="31"/>
        <v>#N/A</v>
      </c>
      <c r="EP6" s="327" t="e">
        <f t="shared" si="31"/>
        <v>#N/A</v>
      </c>
      <c r="EQ6" s="327" t="e">
        <f t="shared" si="31"/>
        <v>#N/A</v>
      </c>
      <c r="ER6" s="327" t="e">
        <f t="shared" si="31"/>
        <v>#N/A</v>
      </c>
      <c r="ES6" s="327" t="e">
        <f t="shared" si="31"/>
        <v>#N/A</v>
      </c>
      <c r="ET6" s="327" t="e">
        <f t="shared" si="31"/>
        <v>#N/A</v>
      </c>
      <c r="EU6" s="325" t="e">
        <f t="shared" ref="EU6:EU20" si="41">SUM(EK6:ET6)</f>
        <v>#N/A</v>
      </c>
      <c r="EV6" s="328"/>
      <c r="EW6" s="336"/>
      <c r="EX6" s="336"/>
      <c r="EY6" s="336"/>
      <c r="EZ6" s="336"/>
      <c r="FA6" s="336"/>
      <c r="FB6" s="336"/>
    </row>
    <row r="7" spans="1:165" ht="61.5" customHeight="1" thickTop="1" thickBot="1" x14ac:dyDescent="0.35">
      <c r="A7" s="330"/>
      <c r="B7" s="318"/>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7"/>
      <c r="AN7" s="317"/>
      <c r="AO7" s="511" t="e">
        <f t="shared" si="32"/>
        <v>#N/A</v>
      </c>
      <c r="AP7" s="511" t="e">
        <f t="shared" si="33"/>
        <v>#N/A</v>
      </c>
      <c r="AQ7" s="511" t="e">
        <f t="shared" si="34"/>
        <v>#N/A</v>
      </c>
      <c r="AR7" s="511" t="e">
        <f t="shared" si="35"/>
        <v>#N/A</v>
      </c>
      <c r="AS7" s="511" t="e">
        <f>HLOOKUP($C$1,'Inflation Adjustments'!$BI$3:$BT$4,2)*CR7</f>
        <v>#N/A</v>
      </c>
      <c r="AT7" s="511">
        <f>IF(BU7="In Service",'Maintenace Cost Assumptions'!$B$3*AS7,0)</f>
        <v>0</v>
      </c>
      <c r="AU7" s="318"/>
      <c r="AV7" s="318"/>
      <c r="AW7" s="318"/>
      <c r="AX7" s="318"/>
      <c r="AY7" s="318"/>
      <c r="AZ7" s="318"/>
      <c r="BA7" s="318"/>
      <c r="BB7" s="318"/>
      <c r="BC7" s="318"/>
      <c r="BD7" s="318"/>
      <c r="BE7" s="318"/>
      <c r="BF7" s="318"/>
      <c r="BG7" s="319">
        <f>(AU7*'Condition rating weights'!H$8+AV7*'Condition rating weights'!I$8+AW7*'Condition rating weights'!J$8+AX7*'Condition rating weights'!K$8+AY7*'Condition rating weights'!L$8+AZ7*'Condition rating weights'!M$8+BA7*'Condition rating weights'!N$8+BB7*'Condition rating weights'!O$8+BC7*'Condition rating weights'!P$8+BD7*'Condition rating weights'!Q$8+BE7*'Condition rating weights'!R$8+BF7*'Condition rating weights'!S$8)/100</f>
        <v>0</v>
      </c>
      <c r="BH7" s="333"/>
      <c r="BI7" s="333"/>
      <c r="BJ7" s="333"/>
      <c r="BK7" s="333"/>
      <c r="BL7" s="333"/>
      <c r="BM7" s="333"/>
      <c r="BN7" s="333"/>
      <c r="BO7" s="333"/>
      <c r="BP7" s="333"/>
      <c r="BQ7" s="333"/>
      <c r="BR7" s="333"/>
      <c r="BS7" s="333"/>
      <c r="BT7" s="334"/>
      <c r="BU7" s="335"/>
      <c r="BV7" s="255"/>
      <c r="BY7" s="306" t="str">
        <f>'GRC and TUL Assumptions'!A7</f>
        <v>Roofing</v>
      </c>
      <c r="BZ7" s="305">
        <f>'GRC and TUL Assumptions'!C7</f>
        <v>100</v>
      </c>
      <c r="CA7" s="305">
        <f>'GRC and TUL Assumptions'!D7</f>
        <v>150</v>
      </c>
      <c r="CB7" s="305">
        <f>'GRC and TUL Assumptions'!E7</f>
        <v>300</v>
      </c>
      <c r="CC7" s="305">
        <v>0</v>
      </c>
      <c r="CD7" s="305">
        <f>'GRC and TUL Assumptions'!F7</f>
        <v>10</v>
      </c>
      <c r="CE7" s="305">
        <f>'GRC and TUL Assumptions'!G7</f>
        <v>20</v>
      </c>
      <c r="CF7" s="305">
        <f>'GRC and TUL Assumptions'!H7</f>
        <v>30</v>
      </c>
      <c r="CG7" s="305">
        <f t="shared" si="36"/>
        <v>10</v>
      </c>
      <c r="CH7" s="323" t="e">
        <f t="shared" si="5"/>
        <v>#N/A</v>
      </c>
      <c r="CI7" s="323" t="e">
        <f t="shared" si="6"/>
        <v>#N/A</v>
      </c>
      <c r="CJ7" s="323" t="e">
        <f t="shared" si="7"/>
        <v>#N/A</v>
      </c>
      <c r="CK7" s="323" t="e">
        <f t="shared" si="8"/>
        <v>#N/A</v>
      </c>
      <c r="CL7" s="323" t="e">
        <f t="shared" si="9"/>
        <v>#N/A</v>
      </c>
      <c r="CM7" s="323" t="e">
        <f t="shared" si="10"/>
        <v>#N/A</v>
      </c>
      <c r="CN7" s="323" t="e">
        <f t="shared" si="11"/>
        <v>#N/A</v>
      </c>
      <c r="CO7" s="323" t="e">
        <f t="shared" si="12"/>
        <v>#N/A</v>
      </c>
      <c r="CP7" s="323" t="e">
        <f t="shared" si="13"/>
        <v>#N/A</v>
      </c>
      <c r="CQ7" s="323" t="e">
        <f t="shared" si="14"/>
        <v>#N/A</v>
      </c>
      <c r="CR7" s="324" t="e">
        <f t="shared" si="37"/>
        <v>#N/A</v>
      </c>
      <c r="CS7" s="325" t="e">
        <f>(HLOOKUP($AI7,'Inflation Adjustments'!$B$3:$BT$4,2,TRUE))*CH7</f>
        <v>#N/A</v>
      </c>
      <c r="CT7" s="325" t="e">
        <f>(HLOOKUP($AI7,'Inflation Adjustments'!$B$3:$BT$4,2,TRUE))*CI7</f>
        <v>#N/A</v>
      </c>
      <c r="CU7" s="325" t="e">
        <f>(HLOOKUP($AI7,'Inflation Adjustments'!$B$3:$BT$4,2,TRUE))*CJ7</f>
        <v>#N/A</v>
      </c>
      <c r="CV7" s="325" t="e">
        <f>(HLOOKUP($AI7,'Inflation Adjustments'!$B$3:$BT$4,2,TRUE))*CK7</f>
        <v>#N/A</v>
      </c>
      <c r="CW7" s="325" t="e">
        <f>(HLOOKUP($AI7,'Inflation Adjustments'!$B$3:$BT$4,2,TRUE))*CL7</f>
        <v>#N/A</v>
      </c>
      <c r="CX7" s="325" t="e">
        <f>(HLOOKUP($AI7,'Inflation Adjustments'!$B$3:$BT$4,2,TRUE))*CM7</f>
        <v>#N/A</v>
      </c>
      <c r="CY7" s="325" t="e">
        <f>(HLOOKUP($AI7,'Inflation Adjustments'!$B$3:$BT$4,2,TRUE))*CN7</f>
        <v>#N/A</v>
      </c>
      <c r="CZ7" s="325" t="e">
        <f>(HLOOKUP($AI7,'Inflation Adjustments'!$B$3:$BT$4,2,TRUE))*CO7</f>
        <v>#N/A</v>
      </c>
      <c r="DA7" s="325" t="e">
        <f>(HLOOKUP($AI7,'Inflation Adjustments'!$B$3:$BT$4,2,TRUE))*CP7</f>
        <v>#N/A</v>
      </c>
      <c r="DB7" s="325" t="e">
        <f>(HLOOKUP($AI7,'Inflation Adjustments'!$B$3:$BT$4,2,TRUE))*CQ7</f>
        <v>#N/A</v>
      </c>
      <c r="DC7" s="325" t="e">
        <f t="shared" si="38"/>
        <v>#N/A</v>
      </c>
      <c r="DD7" s="326">
        <f t="shared" si="15"/>
        <v>2022</v>
      </c>
      <c r="DE7" s="323" t="e">
        <f t="shared" si="16"/>
        <v>#N/A</v>
      </c>
      <c r="DF7" s="323" t="e">
        <f t="shared" si="17"/>
        <v>#N/A</v>
      </c>
      <c r="DG7" s="323" t="e">
        <f t="shared" si="18"/>
        <v>#N/A</v>
      </c>
      <c r="DH7" s="323" t="e">
        <f t="shared" si="19"/>
        <v>#N/A</v>
      </c>
      <c r="DI7" s="323" t="e">
        <f t="shared" si="20"/>
        <v>#N/A</v>
      </c>
      <c r="DJ7" s="323" t="e">
        <f t="shared" si="21"/>
        <v>#N/A</v>
      </c>
      <c r="DK7" s="323" t="e">
        <f t="shared" si="22"/>
        <v>#N/A</v>
      </c>
      <c r="DL7" s="323" t="e">
        <f t="shared" si="23"/>
        <v>#N/A</v>
      </c>
      <c r="DM7" s="323" t="e">
        <f t="shared" si="24"/>
        <v>#N/A</v>
      </c>
      <c r="DN7" s="323" t="e">
        <f t="shared" si="25"/>
        <v>#N/A</v>
      </c>
      <c r="DO7" s="327" t="e">
        <f t="shared" si="26"/>
        <v>#N/A</v>
      </c>
      <c r="DP7" s="327" t="e">
        <f t="shared" si="27"/>
        <v>#N/A</v>
      </c>
      <c r="DQ7" s="327" t="e">
        <f t="shared" si="27"/>
        <v>#N/A</v>
      </c>
      <c r="DR7" s="327" t="e">
        <f t="shared" si="27"/>
        <v>#N/A</v>
      </c>
      <c r="DS7" s="327" t="e">
        <f t="shared" si="27"/>
        <v>#N/A</v>
      </c>
      <c r="DT7" s="327" t="e">
        <f t="shared" si="27"/>
        <v>#N/A</v>
      </c>
      <c r="DU7" s="327" t="e">
        <f t="shared" si="27"/>
        <v>#N/A</v>
      </c>
      <c r="DV7" s="327" t="e">
        <f t="shared" si="27"/>
        <v>#N/A</v>
      </c>
      <c r="DW7" s="327" t="e">
        <f t="shared" si="27"/>
        <v>#N/A</v>
      </c>
      <c r="DX7" s="327" t="e">
        <f t="shared" si="27"/>
        <v>#N/A</v>
      </c>
      <c r="DY7" s="327" t="e">
        <f t="shared" si="39"/>
        <v>#N/A</v>
      </c>
      <c r="DZ7" s="323" t="e">
        <f t="shared" si="28"/>
        <v>#N/A</v>
      </c>
      <c r="EA7" s="323" t="e">
        <f t="shared" si="29"/>
        <v>#N/A</v>
      </c>
      <c r="EB7" s="323" t="e">
        <f t="shared" si="29"/>
        <v>#N/A</v>
      </c>
      <c r="EC7" s="323" t="e">
        <f t="shared" si="29"/>
        <v>#N/A</v>
      </c>
      <c r="ED7" s="323" t="e">
        <f t="shared" si="29"/>
        <v>#N/A</v>
      </c>
      <c r="EE7" s="323" t="e">
        <f t="shared" si="29"/>
        <v>#N/A</v>
      </c>
      <c r="EF7" s="323" t="e">
        <f t="shared" si="29"/>
        <v>#N/A</v>
      </c>
      <c r="EG7" s="323" t="e">
        <f t="shared" si="29"/>
        <v>#N/A</v>
      </c>
      <c r="EH7" s="323" t="e">
        <f t="shared" si="29"/>
        <v>#N/A</v>
      </c>
      <c r="EI7" s="323" t="e">
        <f t="shared" si="29"/>
        <v>#N/A</v>
      </c>
      <c r="EJ7" s="324" t="e">
        <f t="shared" si="40"/>
        <v>#N/A</v>
      </c>
      <c r="EK7" s="327" t="e">
        <f t="shared" si="30"/>
        <v>#N/A</v>
      </c>
      <c r="EL7" s="327" t="e">
        <f t="shared" si="31"/>
        <v>#N/A</v>
      </c>
      <c r="EM7" s="327" t="e">
        <f t="shared" si="31"/>
        <v>#N/A</v>
      </c>
      <c r="EN7" s="327" t="e">
        <f t="shared" si="31"/>
        <v>#N/A</v>
      </c>
      <c r="EO7" s="327" t="e">
        <f t="shared" si="31"/>
        <v>#N/A</v>
      </c>
      <c r="EP7" s="327" t="e">
        <f t="shared" si="31"/>
        <v>#N/A</v>
      </c>
      <c r="EQ7" s="327" t="e">
        <f t="shared" si="31"/>
        <v>#N/A</v>
      </c>
      <c r="ER7" s="327" t="e">
        <f t="shared" si="31"/>
        <v>#N/A</v>
      </c>
      <c r="ES7" s="327" t="e">
        <f t="shared" si="31"/>
        <v>#N/A</v>
      </c>
      <c r="ET7" s="327" t="e">
        <f t="shared" si="31"/>
        <v>#N/A</v>
      </c>
      <c r="EU7" s="325" t="e">
        <f t="shared" si="41"/>
        <v>#N/A</v>
      </c>
      <c r="EV7" s="328">
        <f>AK7</f>
        <v>0</v>
      </c>
      <c r="EW7" s="324">
        <v>0</v>
      </c>
      <c r="EX7" s="323">
        <v>20</v>
      </c>
      <c r="EY7" s="328"/>
      <c r="EZ7" s="323">
        <f>EW7/EX7</f>
        <v>0</v>
      </c>
      <c r="FA7" s="323">
        <f>IF(EY7*EZ7&lt;EW7,EY7*EZ7,EW7)</f>
        <v>0</v>
      </c>
      <c r="FB7" s="323">
        <f>IF(EZ7&lt;(EW7-FA7),EZ7,(E48-FA7))</f>
        <v>0</v>
      </c>
    </row>
    <row r="8" spans="1:165" ht="61.5" customHeight="1" thickTop="1" thickBot="1" x14ac:dyDescent="0.35">
      <c r="A8" s="330"/>
      <c r="B8" s="318"/>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317"/>
      <c r="AN8" s="317"/>
      <c r="AO8" s="511" t="e">
        <f t="shared" si="32"/>
        <v>#N/A</v>
      </c>
      <c r="AP8" s="511" t="e">
        <f t="shared" si="33"/>
        <v>#N/A</v>
      </c>
      <c r="AQ8" s="511" t="e">
        <f t="shared" si="34"/>
        <v>#N/A</v>
      </c>
      <c r="AR8" s="511" t="e">
        <f t="shared" si="35"/>
        <v>#N/A</v>
      </c>
      <c r="AS8" s="511" t="e">
        <f>HLOOKUP($C$1,'Inflation Adjustments'!$BI$3:$BT$4,2)*CR8</f>
        <v>#N/A</v>
      </c>
      <c r="AT8" s="511">
        <f>IF(BU8="In Service",'Maintenace Cost Assumptions'!$B$3*AS8,0)</f>
        <v>0</v>
      </c>
      <c r="AU8" s="318"/>
      <c r="AV8" s="318"/>
      <c r="AW8" s="318"/>
      <c r="AX8" s="318"/>
      <c r="AY8" s="318"/>
      <c r="AZ8" s="318"/>
      <c r="BA8" s="318"/>
      <c r="BB8" s="318"/>
      <c r="BC8" s="318"/>
      <c r="BD8" s="318"/>
      <c r="BE8" s="318"/>
      <c r="BF8" s="318"/>
      <c r="BG8" s="319">
        <f>(AU8*'Condition rating weights'!H$8+AV8*'Condition rating weights'!I$8+AW8*'Condition rating weights'!J$8+AX8*'Condition rating weights'!K$8+AY8*'Condition rating weights'!L$8+AZ8*'Condition rating weights'!M$8+BA8*'Condition rating weights'!N$8+BB8*'Condition rating weights'!O$8+BC8*'Condition rating weights'!P$8+BD8*'Condition rating weights'!Q$8+BE8*'Condition rating weights'!R$8+BF8*'Condition rating weights'!S$8)/100</f>
        <v>0</v>
      </c>
      <c r="BH8" s="333"/>
      <c r="BI8" s="333"/>
      <c r="BJ8" s="333"/>
      <c r="BK8" s="333"/>
      <c r="BL8" s="333"/>
      <c r="BM8" s="333"/>
      <c r="BN8" s="333"/>
      <c r="BO8" s="333"/>
      <c r="BP8" s="333"/>
      <c r="BQ8" s="333"/>
      <c r="BR8" s="333"/>
      <c r="BS8" s="333"/>
      <c r="BT8" s="334"/>
      <c r="BU8" s="335"/>
      <c r="BV8" s="255"/>
      <c r="BY8" s="306" t="str">
        <f>'GRC and TUL Assumptions'!A8</f>
        <v>Exterior Wall Cladding</v>
      </c>
      <c r="BZ8" s="305">
        <f>'GRC and TUL Assumptions'!C8</f>
        <v>150</v>
      </c>
      <c r="CA8" s="305">
        <f>'GRC and TUL Assumptions'!D8</f>
        <v>230</v>
      </c>
      <c r="CB8" s="305">
        <f>'GRC and TUL Assumptions'!E8</f>
        <v>300</v>
      </c>
      <c r="CC8" s="305">
        <v>0</v>
      </c>
      <c r="CD8" s="305">
        <f>'GRC and TUL Assumptions'!F8</f>
        <v>20</v>
      </c>
      <c r="CE8" s="305">
        <f>'GRC and TUL Assumptions'!G8</f>
        <v>30</v>
      </c>
      <c r="CF8" s="305">
        <f>'GRC and TUL Assumptions'!H8</f>
        <v>40</v>
      </c>
      <c r="CG8" s="305">
        <f t="shared" si="36"/>
        <v>20</v>
      </c>
      <c r="CH8" s="323" t="e">
        <f t="shared" si="5"/>
        <v>#N/A</v>
      </c>
      <c r="CI8" s="323" t="e">
        <f t="shared" si="6"/>
        <v>#N/A</v>
      </c>
      <c r="CJ8" s="323" t="e">
        <f t="shared" si="7"/>
        <v>#N/A</v>
      </c>
      <c r="CK8" s="323" t="e">
        <f t="shared" si="8"/>
        <v>#N/A</v>
      </c>
      <c r="CL8" s="323" t="e">
        <f t="shared" si="9"/>
        <v>#N/A</v>
      </c>
      <c r="CM8" s="323" t="e">
        <f t="shared" si="10"/>
        <v>#N/A</v>
      </c>
      <c r="CN8" s="323" t="e">
        <f t="shared" si="11"/>
        <v>#N/A</v>
      </c>
      <c r="CO8" s="323" t="e">
        <f t="shared" si="12"/>
        <v>#N/A</v>
      </c>
      <c r="CP8" s="323" t="e">
        <f t="shared" si="13"/>
        <v>#N/A</v>
      </c>
      <c r="CQ8" s="323" t="e">
        <f t="shared" si="14"/>
        <v>#N/A</v>
      </c>
      <c r="CR8" s="324" t="e">
        <f t="shared" si="37"/>
        <v>#N/A</v>
      </c>
      <c r="CS8" s="325" t="e">
        <f>(HLOOKUP($AI8,'Inflation Adjustments'!$B$3:$BT$4,2,TRUE))*CH8</f>
        <v>#N/A</v>
      </c>
      <c r="CT8" s="325" t="e">
        <f>(HLOOKUP($AI8,'Inflation Adjustments'!$B$3:$BT$4,2,TRUE))*CI8</f>
        <v>#N/A</v>
      </c>
      <c r="CU8" s="325" t="e">
        <f>(HLOOKUP($AI8,'Inflation Adjustments'!$B$3:$BT$4,2,TRUE))*CJ8</f>
        <v>#N/A</v>
      </c>
      <c r="CV8" s="325" t="e">
        <f>(HLOOKUP($AI8,'Inflation Adjustments'!$B$3:$BT$4,2,TRUE))*CK8</f>
        <v>#N/A</v>
      </c>
      <c r="CW8" s="325" t="e">
        <f>(HLOOKUP($AI8,'Inflation Adjustments'!$B$3:$BT$4,2,TRUE))*CL8</f>
        <v>#N/A</v>
      </c>
      <c r="CX8" s="325" t="e">
        <f>(HLOOKUP($AI8,'Inflation Adjustments'!$B$3:$BT$4,2,TRUE))*CM8</f>
        <v>#N/A</v>
      </c>
      <c r="CY8" s="325" t="e">
        <f>(HLOOKUP($AI8,'Inflation Adjustments'!$B$3:$BT$4,2,TRUE))*CN8</f>
        <v>#N/A</v>
      </c>
      <c r="CZ8" s="325" t="e">
        <f>(HLOOKUP($AI8,'Inflation Adjustments'!$B$3:$BT$4,2,TRUE))*CO8</f>
        <v>#N/A</v>
      </c>
      <c r="DA8" s="325" t="e">
        <f>(HLOOKUP($AI8,'Inflation Adjustments'!$B$3:$BT$4,2,TRUE))*CP8</f>
        <v>#N/A</v>
      </c>
      <c r="DB8" s="325" t="e">
        <f>(HLOOKUP($AI8,'Inflation Adjustments'!$B$3:$BT$4,2,TRUE))*CQ8</f>
        <v>#N/A</v>
      </c>
      <c r="DC8" s="325" t="e">
        <f t="shared" si="38"/>
        <v>#N/A</v>
      </c>
      <c r="DD8" s="326">
        <f t="shared" si="15"/>
        <v>2022</v>
      </c>
      <c r="DE8" s="323" t="e">
        <f t="shared" si="16"/>
        <v>#N/A</v>
      </c>
      <c r="DF8" s="323" t="e">
        <f t="shared" si="17"/>
        <v>#N/A</v>
      </c>
      <c r="DG8" s="323" t="e">
        <f t="shared" si="18"/>
        <v>#N/A</v>
      </c>
      <c r="DH8" s="323" t="e">
        <f t="shared" si="19"/>
        <v>#N/A</v>
      </c>
      <c r="DI8" s="323" t="e">
        <f t="shared" si="20"/>
        <v>#N/A</v>
      </c>
      <c r="DJ8" s="323" t="e">
        <f t="shared" si="21"/>
        <v>#N/A</v>
      </c>
      <c r="DK8" s="323" t="e">
        <f t="shared" si="22"/>
        <v>#N/A</v>
      </c>
      <c r="DL8" s="323" t="e">
        <f t="shared" si="23"/>
        <v>#N/A</v>
      </c>
      <c r="DM8" s="323" t="e">
        <f t="shared" si="24"/>
        <v>#N/A</v>
      </c>
      <c r="DN8" s="323" t="e">
        <f t="shared" si="25"/>
        <v>#N/A</v>
      </c>
      <c r="DO8" s="327" t="e">
        <f t="shared" si="26"/>
        <v>#N/A</v>
      </c>
      <c r="DP8" s="327" t="e">
        <f t="shared" si="27"/>
        <v>#N/A</v>
      </c>
      <c r="DQ8" s="327" t="e">
        <f t="shared" si="27"/>
        <v>#N/A</v>
      </c>
      <c r="DR8" s="327" t="e">
        <f t="shared" si="27"/>
        <v>#N/A</v>
      </c>
      <c r="DS8" s="327" t="e">
        <f t="shared" si="27"/>
        <v>#N/A</v>
      </c>
      <c r="DT8" s="327" t="e">
        <f t="shared" si="27"/>
        <v>#N/A</v>
      </c>
      <c r="DU8" s="327" t="e">
        <f t="shared" si="27"/>
        <v>#N/A</v>
      </c>
      <c r="DV8" s="327" t="e">
        <f t="shared" si="27"/>
        <v>#N/A</v>
      </c>
      <c r="DW8" s="327" t="e">
        <f t="shared" si="27"/>
        <v>#N/A</v>
      </c>
      <c r="DX8" s="327" t="e">
        <f t="shared" si="27"/>
        <v>#N/A</v>
      </c>
      <c r="DY8" s="327" t="e">
        <f t="shared" si="39"/>
        <v>#N/A</v>
      </c>
      <c r="DZ8" s="323" t="e">
        <f t="shared" si="28"/>
        <v>#N/A</v>
      </c>
      <c r="EA8" s="323" t="e">
        <f t="shared" si="29"/>
        <v>#N/A</v>
      </c>
      <c r="EB8" s="323" t="e">
        <f t="shared" si="29"/>
        <v>#N/A</v>
      </c>
      <c r="EC8" s="323" t="e">
        <f t="shared" si="29"/>
        <v>#N/A</v>
      </c>
      <c r="ED8" s="323" t="e">
        <f t="shared" si="29"/>
        <v>#N/A</v>
      </c>
      <c r="EE8" s="323" t="e">
        <f t="shared" si="29"/>
        <v>#N/A</v>
      </c>
      <c r="EF8" s="323" t="e">
        <f t="shared" si="29"/>
        <v>#N/A</v>
      </c>
      <c r="EG8" s="323" t="e">
        <f t="shared" si="29"/>
        <v>#N/A</v>
      </c>
      <c r="EH8" s="323" t="e">
        <f t="shared" si="29"/>
        <v>#N/A</v>
      </c>
      <c r="EI8" s="323" t="e">
        <f t="shared" si="29"/>
        <v>#N/A</v>
      </c>
      <c r="EJ8" s="324" t="e">
        <f t="shared" si="40"/>
        <v>#N/A</v>
      </c>
      <c r="EK8" s="327" t="e">
        <f t="shared" si="30"/>
        <v>#N/A</v>
      </c>
      <c r="EL8" s="327" t="e">
        <f t="shared" si="31"/>
        <v>#N/A</v>
      </c>
      <c r="EM8" s="327" t="e">
        <f t="shared" si="31"/>
        <v>#N/A</v>
      </c>
      <c r="EN8" s="327" t="e">
        <f t="shared" si="31"/>
        <v>#N/A</v>
      </c>
      <c r="EO8" s="327" t="e">
        <f t="shared" si="31"/>
        <v>#N/A</v>
      </c>
      <c r="EP8" s="327" t="e">
        <f t="shared" si="31"/>
        <v>#N/A</v>
      </c>
      <c r="EQ8" s="327" t="e">
        <f t="shared" si="31"/>
        <v>#N/A</v>
      </c>
      <c r="ER8" s="327" t="e">
        <f t="shared" si="31"/>
        <v>#N/A</v>
      </c>
      <c r="ES8" s="327" t="e">
        <f t="shared" si="31"/>
        <v>#N/A</v>
      </c>
      <c r="ET8" s="327" t="e">
        <f t="shared" si="31"/>
        <v>#N/A</v>
      </c>
      <c r="EU8" s="325" t="e">
        <f t="shared" si="41"/>
        <v>#N/A</v>
      </c>
      <c r="EV8" s="328"/>
      <c r="EW8" s="336"/>
      <c r="EX8" s="336"/>
      <c r="EY8" s="336"/>
      <c r="EZ8" s="336"/>
      <c r="FA8" s="336"/>
      <c r="FB8" s="336"/>
    </row>
    <row r="9" spans="1:165" ht="56" customHeight="1" thickTop="1" thickBot="1" x14ac:dyDescent="0.35">
      <c r="A9" s="330"/>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7"/>
      <c r="AN9" s="317"/>
      <c r="AO9" s="511" t="e">
        <f t="shared" si="32"/>
        <v>#N/A</v>
      </c>
      <c r="AP9" s="511" t="e">
        <f t="shared" si="33"/>
        <v>#N/A</v>
      </c>
      <c r="AQ9" s="511" t="e">
        <f t="shared" si="34"/>
        <v>#N/A</v>
      </c>
      <c r="AR9" s="511" t="e">
        <f t="shared" si="35"/>
        <v>#N/A</v>
      </c>
      <c r="AS9" s="511" t="e">
        <f>HLOOKUP($C$1,'Inflation Adjustments'!$BI$3:$BT$4,2)*CR9</f>
        <v>#N/A</v>
      </c>
      <c r="AT9" s="511">
        <f>IF(BU9="In Service",'Maintenace Cost Assumptions'!$B$3*AS9,0)</f>
        <v>0</v>
      </c>
      <c r="AU9" s="318"/>
      <c r="AV9" s="318"/>
      <c r="AW9" s="318"/>
      <c r="AX9" s="318"/>
      <c r="AY9" s="318"/>
      <c r="AZ9" s="318"/>
      <c r="BA9" s="318"/>
      <c r="BB9" s="318"/>
      <c r="BC9" s="318"/>
      <c r="BD9" s="318"/>
      <c r="BE9" s="318"/>
      <c r="BF9" s="318"/>
      <c r="BG9" s="319">
        <f>(AU9*'Condition rating weights'!H$8+AV9*'Condition rating weights'!I$8+AW9*'Condition rating weights'!J$8+AX9*'Condition rating weights'!K$8+AY9*'Condition rating weights'!L$8+AZ9*'Condition rating weights'!M$8+BA9*'Condition rating weights'!N$8+BB9*'Condition rating weights'!O$8+BC9*'Condition rating weights'!P$8+BD9*'Condition rating weights'!Q$8+BE9*'Condition rating weights'!R$8+BF9*'Condition rating weights'!S$8)/100</f>
        <v>0</v>
      </c>
      <c r="BH9" s="333"/>
      <c r="BI9" s="333"/>
      <c r="BJ9" s="333"/>
      <c r="BK9" s="333"/>
      <c r="BL9" s="333"/>
      <c r="BM9" s="333"/>
      <c r="BN9" s="333"/>
      <c r="BO9" s="333"/>
      <c r="BP9" s="333"/>
      <c r="BQ9" s="333"/>
      <c r="BR9" s="333"/>
      <c r="BS9" s="333"/>
      <c r="BT9" s="334"/>
      <c r="BU9" s="335"/>
      <c r="BV9" s="255"/>
      <c r="BY9" s="306" t="str">
        <f>'GRC and TUL Assumptions'!A9</f>
        <v>Fitouts</v>
      </c>
      <c r="BZ9" s="305">
        <f>'GRC and TUL Assumptions'!C9</f>
        <v>250</v>
      </c>
      <c r="CA9" s="305">
        <f>'GRC and TUL Assumptions'!D9</f>
        <v>350</v>
      </c>
      <c r="CB9" s="305">
        <f>'GRC and TUL Assumptions'!E9</f>
        <v>500</v>
      </c>
      <c r="CC9" s="305">
        <v>0</v>
      </c>
      <c r="CD9" s="305">
        <f>'GRC and TUL Assumptions'!F9</f>
        <v>40</v>
      </c>
      <c r="CE9" s="305">
        <f>'GRC and TUL Assumptions'!G9</f>
        <v>60</v>
      </c>
      <c r="CF9" s="305">
        <f>'GRC and TUL Assumptions'!H9</f>
        <v>60</v>
      </c>
      <c r="CG9" s="305">
        <f t="shared" si="36"/>
        <v>40</v>
      </c>
      <c r="CH9" s="323" t="e">
        <f t="shared" si="5"/>
        <v>#N/A</v>
      </c>
      <c r="CI9" s="323" t="e">
        <f t="shared" si="6"/>
        <v>#N/A</v>
      </c>
      <c r="CJ9" s="323" t="e">
        <f t="shared" si="7"/>
        <v>#N/A</v>
      </c>
      <c r="CK9" s="323" t="e">
        <f t="shared" si="8"/>
        <v>#N/A</v>
      </c>
      <c r="CL9" s="323" t="e">
        <f t="shared" si="9"/>
        <v>#N/A</v>
      </c>
      <c r="CM9" s="323" t="e">
        <f t="shared" si="10"/>
        <v>#N/A</v>
      </c>
      <c r="CN9" s="323" t="e">
        <f t="shared" si="11"/>
        <v>#N/A</v>
      </c>
      <c r="CO9" s="323" t="e">
        <f t="shared" si="12"/>
        <v>#N/A</v>
      </c>
      <c r="CP9" s="323" t="e">
        <f t="shared" si="13"/>
        <v>#N/A</v>
      </c>
      <c r="CQ9" s="323" t="e">
        <f t="shared" si="14"/>
        <v>#N/A</v>
      </c>
      <c r="CR9" s="324" t="e">
        <f t="shared" si="37"/>
        <v>#N/A</v>
      </c>
      <c r="CS9" s="325" t="e">
        <f>(HLOOKUP($AI9,'Inflation Adjustments'!$B$3:$BT$4,2,TRUE))*CH9</f>
        <v>#N/A</v>
      </c>
      <c r="CT9" s="325" t="e">
        <f>(HLOOKUP($AI9,'Inflation Adjustments'!$B$3:$BT$4,2,TRUE))*CI9</f>
        <v>#N/A</v>
      </c>
      <c r="CU9" s="325" t="e">
        <f>(HLOOKUP($AI9,'Inflation Adjustments'!$B$3:$BT$4,2,TRUE))*CJ9</f>
        <v>#N/A</v>
      </c>
      <c r="CV9" s="325" t="e">
        <f>(HLOOKUP($AI9,'Inflation Adjustments'!$B$3:$BT$4,2,TRUE))*CK9</f>
        <v>#N/A</v>
      </c>
      <c r="CW9" s="325" t="e">
        <f>(HLOOKUP($AI9,'Inflation Adjustments'!$B$3:$BT$4,2,TRUE))*CL9</f>
        <v>#N/A</v>
      </c>
      <c r="CX9" s="325" t="e">
        <f>(HLOOKUP($AI9,'Inflation Adjustments'!$B$3:$BT$4,2,TRUE))*CM9</f>
        <v>#N/A</v>
      </c>
      <c r="CY9" s="325" t="e">
        <f>(HLOOKUP($AI9,'Inflation Adjustments'!$B$3:$BT$4,2,TRUE))*CN9</f>
        <v>#N/A</v>
      </c>
      <c r="CZ9" s="325" t="e">
        <f>(HLOOKUP($AI9,'Inflation Adjustments'!$B$3:$BT$4,2,TRUE))*CO9</f>
        <v>#N/A</v>
      </c>
      <c r="DA9" s="325" t="e">
        <f>(HLOOKUP($AI9,'Inflation Adjustments'!$B$3:$BT$4,2,TRUE))*CP9</f>
        <v>#N/A</v>
      </c>
      <c r="DB9" s="325" t="e">
        <f>(HLOOKUP($AI9,'Inflation Adjustments'!$B$3:$BT$4,2,TRUE))*CQ9</f>
        <v>#N/A</v>
      </c>
      <c r="DC9" s="325" t="e">
        <f t="shared" si="38"/>
        <v>#N/A</v>
      </c>
      <c r="DD9" s="326">
        <f t="shared" si="15"/>
        <v>2022</v>
      </c>
      <c r="DE9" s="323" t="e">
        <f t="shared" si="16"/>
        <v>#N/A</v>
      </c>
      <c r="DF9" s="323" t="e">
        <f t="shared" si="17"/>
        <v>#N/A</v>
      </c>
      <c r="DG9" s="323" t="e">
        <f t="shared" si="18"/>
        <v>#N/A</v>
      </c>
      <c r="DH9" s="323" t="e">
        <f t="shared" si="19"/>
        <v>#N/A</v>
      </c>
      <c r="DI9" s="323" t="e">
        <f t="shared" si="20"/>
        <v>#N/A</v>
      </c>
      <c r="DJ9" s="323" t="e">
        <f t="shared" si="21"/>
        <v>#N/A</v>
      </c>
      <c r="DK9" s="323" t="e">
        <f t="shared" si="22"/>
        <v>#N/A</v>
      </c>
      <c r="DL9" s="323" t="e">
        <f t="shared" si="23"/>
        <v>#N/A</v>
      </c>
      <c r="DM9" s="323" t="e">
        <f t="shared" si="24"/>
        <v>#N/A</v>
      </c>
      <c r="DN9" s="323" t="e">
        <f t="shared" si="25"/>
        <v>#N/A</v>
      </c>
      <c r="DO9" s="327" t="e">
        <f t="shared" si="26"/>
        <v>#N/A</v>
      </c>
      <c r="DP9" s="327" t="e">
        <f t="shared" si="27"/>
        <v>#N/A</v>
      </c>
      <c r="DQ9" s="327" t="e">
        <f t="shared" si="27"/>
        <v>#N/A</v>
      </c>
      <c r="DR9" s="327" t="e">
        <f t="shared" si="27"/>
        <v>#N/A</v>
      </c>
      <c r="DS9" s="327" t="e">
        <f t="shared" si="27"/>
        <v>#N/A</v>
      </c>
      <c r="DT9" s="327" t="e">
        <f t="shared" si="27"/>
        <v>#N/A</v>
      </c>
      <c r="DU9" s="327" t="e">
        <f t="shared" si="27"/>
        <v>#N/A</v>
      </c>
      <c r="DV9" s="327" t="e">
        <f t="shared" si="27"/>
        <v>#N/A</v>
      </c>
      <c r="DW9" s="327" t="e">
        <f t="shared" si="27"/>
        <v>#N/A</v>
      </c>
      <c r="DX9" s="327" t="e">
        <f t="shared" si="27"/>
        <v>#N/A</v>
      </c>
      <c r="DY9" s="327" t="e">
        <f t="shared" si="39"/>
        <v>#N/A</v>
      </c>
      <c r="DZ9" s="323" t="e">
        <f t="shared" si="28"/>
        <v>#N/A</v>
      </c>
      <c r="EA9" s="323" t="e">
        <f t="shared" si="29"/>
        <v>#N/A</v>
      </c>
      <c r="EB9" s="323" t="e">
        <f t="shared" si="29"/>
        <v>#N/A</v>
      </c>
      <c r="EC9" s="323" t="e">
        <f t="shared" si="29"/>
        <v>#N/A</v>
      </c>
      <c r="ED9" s="323" t="e">
        <f t="shared" si="29"/>
        <v>#N/A</v>
      </c>
      <c r="EE9" s="323" t="e">
        <f t="shared" si="29"/>
        <v>#N/A</v>
      </c>
      <c r="EF9" s="323" t="e">
        <f t="shared" si="29"/>
        <v>#N/A</v>
      </c>
      <c r="EG9" s="323" t="e">
        <f t="shared" si="29"/>
        <v>#N/A</v>
      </c>
      <c r="EH9" s="323" t="e">
        <f t="shared" si="29"/>
        <v>#N/A</v>
      </c>
      <c r="EI9" s="323" t="e">
        <f t="shared" si="29"/>
        <v>#N/A</v>
      </c>
      <c r="EJ9" s="324" t="e">
        <f t="shared" si="40"/>
        <v>#N/A</v>
      </c>
      <c r="EK9" s="327" t="e">
        <f t="shared" si="30"/>
        <v>#N/A</v>
      </c>
      <c r="EL9" s="327" t="e">
        <f t="shared" si="31"/>
        <v>#N/A</v>
      </c>
      <c r="EM9" s="327" t="e">
        <f t="shared" si="31"/>
        <v>#N/A</v>
      </c>
      <c r="EN9" s="327" t="e">
        <f t="shared" si="31"/>
        <v>#N/A</v>
      </c>
      <c r="EO9" s="327" t="e">
        <f t="shared" si="31"/>
        <v>#N/A</v>
      </c>
      <c r="EP9" s="327" t="e">
        <f t="shared" si="31"/>
        <v>#N/A</v>
      </c>
      <c r="EQ9" s="327" t="e">
        <f t="shared" si="31"/>
        <v>#N/A</v>
      </c>
      <c r="ER9" s="327" t="e">
        <f t="shared" si="31"/>
        <v>#N/A</v>
      </c>
      <c r="ES9" s="327" t="e">
        <f t="shared" si="31"/>
        <v>#N/A</v>
      </c>
      <c r="ET9" s="327" t="e">
        <f t="shared" si="31"/>
        <v>#N/A</v>
      </c>
      <c r="EU9" s="325" t="e">
        <f t="shared" si="41"/>
        <v>#N/A</v>
      </c>
      <c r="EV9" s="336"/>
      <c r="EW9" s="336"/>
      <c r="EX9" s="336"/>
      <c r="EY9" s="336"/>
      <c r="EZ9" s="336"/>
      <c r="FA9" s="336"/>
      <c r="FB9" s="336"/>
    </row>
    <row r="10" spans="1:165" ht="56" customHeight="1" thickTop="1" thickBot="1" x14ac:dyDescent="0.35">
      <c r="A10" s="330"/>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7"/>
      <c r="AN10" s="317"/>
      <c r="AO10" s="317"/>
      <c r="AP10" s="317"/>
      <c r="AQ10" s="317"/>
      <c r="AR10" s="317"/>
      <c r="AS10" s="317"/>
      <c r="AT10" s="317"/>
      <c r="AU10" s="318"/>
      <c r="AV10" s="318"/>
      <c r="AW10" s="318"/>
      <c r="AX10" s="318"/>
      <c r="AY10" s="318"/>
      <c r="AZ10" s="318"/>
      <c r="BA10" s="318"/>
      <c r="BB10" s="318"/>
      <c r="BC10" s="318"/>
      <c r="BD10" s="318"/>
      <c r="BE10" s="318"/>
      <c r="BF10" s="318"/>
      <c r="BG10" s="319">
        <f>(AU10*'Condition rating weights'!H$8+AV10*'Condition rating weights'!I$8+AW10*'Condition rating weights'!J$8+AX10*'Condition rating weights'!K$8+AY10*'Condition rating weights'!L$8+AZ10*'Condition rating weights'!M$8+BA10*'Condition rating weights'!N$8+BB10*'Condition rating weights'!O$8+BC10*'Condition rating weights'!P$8+BD10*'Condition rating weights'!Q$8+BE10*'Condition rating weights'!R$8+BF10*'Condition rating weights'!S$8)/100</f>
        <v>0</v>
      </c>
      <c r="BH10" s="333"/>
      <c r="BI10" s="333"/>
      <c r="BJ10" s="333"/>
      <c r="BK10" s="333"/>
      <c r="BL10" s="333"/>
      <c r="BM10" s="333"/>
      <c r="BN10" s="333"/>
      <c r="BO10" s="333"/>
      <c r="BP10" s="333"/>
      <c r="BQ10" s="333"/>
      <c r="BR10" s="333"/>
      <c r="BS10" s="333"/>
      <c r="BT10" s="334"/>
      <c r="BU10" s="335"/>
      <c r="BV10" s="255"/>
      <c r="BY10" s="306" t="str">
        <f>'GRC and TUL Assumptions'!A10</f>
        <v>Floor Covering</v>
      </c>
      <c r="BZ10" s="305">
        <f>'GRC and TUL Assumptions'!C10</f>
        <v>100</v>
      </c>
      <c r="CA10" s="305">
        <f>'GRC and TUL Assumptions'!D10</f>
        <v>150</v>
      </c>
      <c r="CB10" s="305">
        <f>'GRC and TUL Assumptions'!E10</f>
        <v>300</v>
      </c>
      <c r="CC10" s="305">
        <v>0</v>
      </c>
      <c r="CD10" s="305">
        <f>'GRC and TUL Assumptions'!F10</f>
        <v>20</v>
      </c>
      <c r="CE10" s="305">
        <f>'GRC and TUL Assumptions'!G10</f>
        <v>30</v>
      </c>
      <c r="CF10" s="305">
        <f>'GRC and TUL Assumptions'!H10</f>
        <v>40</v>
      </c>
      <c r="CG10" s="305">
        <f t="shared" si="36"/>
        <v>20</v>
      </c>
      <c r="CH10" s="323" t="e">
        <f t="shared" si="5"/>
        <v>#N/A</v>
      </c>
      <c r="CI10" s="323" t="e">
        <f t="shared" si="6"/>
        <v>#N/A</v>
      </c>
      <c r="CJ10" s="323" t="e">
        <f t="shared" si="7"/>
        <v>#N/A</v>
      </c>
      <c r="CK10" s="323" t="e">
        <f t="shared" si="8"/>
        <v>#N/A</v>
      </c>
      <c r="CL10" s="323" t="e">
        <f t="shared" si="9"/>
        <v>#N/A</v>
      </c>
      <c r="CM10" s="323" t="e">
        <f t="shared" si="10"/>
        <v>#N/A</v>
      </c>
      <c r="CN10" s="323" t="e">
        <f t="shared" si="11"/>
        <v>#N/A</v>
      </c>
      <c r="CO10" s="323" t="e">
        <f t="shared" si="12"/>
        <v>#N/A</v>
      </c>
      <c r="CP10" s="323" t="e">
        <f t="shared" si="13"/>
        <v>#N/A</v>
      </c>
      <c r="CQ10" s="323" t="e">
        <f t="shared" si="14"/>
        <v>#N/A</v>
      </c>
      <c r="CR10" s="324" t="e">
        <f t="shared" si="37"/>
        <v>#N/A</v>
      </c>
      <c r="CS10" s="325" t="e">
        <f>(HLOOKUP($AI10,'Inflation Adjustments'!$B$3:$BT$4,2,TRUE))*CH10</f>
        <v>#N/A</v>
      </c>
      <c r="CT10" s="325" t="e">
        <f>(HLOOKUP($AI10,'Inflation Adjustments'!$B$3:$BT$4,2,TRUE))*CI10</f>
        <v>#N/A</v>
      </c>
      <c r="CU10" s="325" t="e">
        <f>(HLOOKUP($AI10,'Inflation Adjustments'!$B$3:$BT$4,2,TRUE))*CJ10</f>
        <v>#N/A</v>
      </c>
      <c r="CV10" s="325" t="e">
        <f>(HLOOKUP($AI10,'Inflation Adjustments'!$B$3:$BT$4,2,TRUE))*CK10</f>
        <v>#N/A</v>
      </c>
      <c r="CW10" s="325" t="e">
        <f>(HLOOKUP($AI10,'Inflation Adjustments'!$B$3:$BT$4,2,TRUE))*CL10</f>
        <v>#N/A</v>
      </c>
      <c r="CX10" s="325" t="e">
        <f>(HLOOKUP($AI10,'Inflation Adjustments'!$B$3:$BT$4,2,TRUE))*CM10</f>
        <v>#N/A</v>
      </c>
      <c r="CY10" s="325" t="e">
        <f>(HLOOKUP($AI10,'Inflation Adjustments'!$B$3:$BT$4,2,TRUE))*CN10</f>
        <v>#N/A</v>
      </c>
      <c r="CZ10" s="325" t="e">
        <f>(HLOOKUP($AI10,'Inflation Adjustments'!$B$3:$BT$4,2,TRUE))*CO10</f>
        <v>#N/A</v>
      </c>
      <c r="DA10" s="325" t="e">
        <f>(HLOOKUP($AI10,'Inflation Adjustments'!$B$3:$BT$4,2,TRUE))*CP10</f>
        <v>#N/A</v>
      </c>
      <c r="DB10" s="325" t="e">
        <f>(HLOOKUP($AI10,'Inflation Adjustments'!$B$3:$BT$4,2,TRUE))*CQ10</f>
        <v>#N/A</v>
      </c>
      <c r="DC10" s="325" t="e">
        <f t="shared" si="38"/>
        <v>#N/A</v>
      </c>
      <c r="DD10" s="326">
        <f t="shared" si="15"/>
        <v>2022</v>
      </c>
      <c r="DE10" s="323" t="e">
        <f t="shared" si="16"/>
        <v>#N/A</v>
      </c>
      <c r="DF10" s="323" t="e">
        <f t="shared" si="17"/>
        <v>#N/A</v>
      </c>
      <c r="DG10" s="323" t="e">
        <f t="shared" si="18"/>
        <v>#N/A</v>
      </c>
      <c r="DH10" s="323" t="e">
        <f t="shared" si="19"/>
        <v>#N/A</v>
      </c>
      <c r="DI10" s="323" t="e">
        <f t="shared" si="20"/>
        <v>#N/A</v>
      </c>
      <c r="DJ10" s="323" t="e">
        <f t="shared" si="21"/>
        <v>#N/A</v>
      </c>
      <c r="DK10" s="323" t="e">
        <f t="shared" si="22"/>
        <v>#N/A</v>
      </c>
      <c r="DL10" s="323" t="e">
        <f t="shared" si="23"/>
        <v>#N/A</v>
      </c>
      <c r="DM10" s="323" t="e">
        <f t="shared" si="24"/>
        <v>#N/A</v>
      </c>
      <c r="DN10" s="323" t="e">
        <f t="shared" si="25"/>
        <v>#N/A</v>
      </c>
      <c r="DO10" s="327" t="e">
        <f t="shared" si="26"/>
        <v>#N/A</v>
      </c>
      <c r="DP10" s="327" t="e">
        <f t="shared" si="27"/>
        <v>#N/A</v>
      </c>
      <c r="DQ10" s="327" t="e">
        <f t="shared" si="27"/>
        <v>#N/A</v>
      </c>
      <c r="DR10" s="327" t="e">
        <f t="shared" si="27"/>
        <v>#N/A</v>
      </c>
      <c r="DS10" s="327" t="e">
        <f t="shared" si="27"/>
        <v>#N/A</v>
      </c>
      <c r="DT10" s="327" t="e">
        <f t="shared" si="27"/>
        <v>#N/A</v>
      </c>
      <c r="DU10" s="327" t="e">
        <f t="shared" si="27"/>
        <v>#N/A</v>
      </c>
      <c r="DV10" s="327" t="e">
        <f t="shared" si="27"/>
        <v>#N/A</v>
      </c>
      <c r="DW10" s="327" t="e">
        <f t="shared" si="27"/>
        <v>#N/A</v>
      </c>
      <c r="DX10" s="327" t="e">
        <f t="shared" si="27"/>
        <v>#N/A</v>
      </c>
      <c r="DY10" s="327" t="e">
        <f t="shared" si="39"/>
        <v>#N/A</v>
      </c>
      <c r="DZ10" s="323" t="e">
        <f t="shared" si="28"/>
        <v>#N/A</v>
      </c>
      <c r="EA10" s="323" t="e">
        <f t="shared" si="29"/>
        <v>#N/A</v>
      </c>
      <c r="EB10" s="323" t="e">
        <f t="shared" si="29"/>
        <v>#N/A</v>
      </c>
      <c r="EC10" s="323" t="e">
        <f t="shared" si="29"/>
        <v>#N/A</v>
      </c>
      <c r="ED10" s="323" t="e">
        <f t="shared" si="29"/>
        <v>#N/A</v>
      </c>
      <c r="EE10" s="323" t="e">
        <f t="shared" si="29"/>
        <v>#N/A</v>
      </c>
      <c r="EF10" s="323" t="e">
        <f t="shared" si="29"/>
        <v>#N/A</v>
      </c>
      <c r="EG10" s="323" t="e">
        <f t="shared" si="29"/>
        <v>#N/A</v>
      </c>
      <c r="EH10" s="323" t="e">
        <f t="shared" si="29"/>
        <v>#N/A</v>
      </c>
      <c r="EI10" s="323" t="e">
        <f t="shared" si="29"/>
        <v>#N/A</v>
      </c>
      <c r="EJ10" s="324" t="e">
        <f t="shared" si="40"/>
        <v>#N/A</v>
      </c>
      <c r="EK10" s="327" t="e">
        <f t="shared" si="30"/>
        <v>#N/A</v>
      </c>
      <c r="EL10" s="327" t="e">
        <f t="shared" si="31"/>
        <v>#N/A</v>
      </c>
      <c r="EM10" s="327" t="e">
        <f t="shared" si="31"/>
        <v>#N/A</v>
      </c>
      <c r="EN10" s="327" t="e">
        <f t="shared" si="31"/>
        <v>#N/A</v>
      </c>
      <c r="EO10" s="327" t="e">
        <f t="shared" si="31"/>
        <v>#N/A</v>
      </c>
      <c r="EP10" s="327" t="e">
        <f t="shared" si="31"/>
        <v>#N/A</v>
      </c>
      <c r="EQ10" s="327" t="e">
        <f t="shared" si="31"/>
        <v>#N/A</v>
      </c>
      <c r="ER10" s="327" t="e">
        <f t="shared" si="31"/>
        <v>#N/A</v>
      </c>
      <c r="ES10" s="327" t="e">
        <f t="shared" si="31"/>
        <v>#N/A</v>
      </c>
      <c r="ET10" s="327" t="e">
        <f t="shared" si="31"/>
        <v>#N/A</v>
      </c>
      <c r="EU10" s="325" t="e">
        <f t="shared" si="41"/>
        <v>#N/A</v>
      </c>
      <c r="EV10" s="336"/>
      <c r="EW10" s="336"/>
      <c r="EX10" s="336"/>
      <c r="EY10" s="336"/>
      <c r="EZ10" s="336"/>
      <c r="FA10" s="336"/>
      <c r="FB10" s="336"/>
    </row>
    <row r="11" spans="1:165" ht="56" customHeight="1" thickTop="1" thickBot="1" x14ac:dyDescent="0.35">
      <c r="A11" s="330"/>
      <c r="B11" s="318"/>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7"/>
      <c r="AN11" s="317"/>
      <c r="AO11" s="317"/>
      <c r="AP11" s="317"/>
      <c r="AQ11" s="317"/>
      <c r="AR11" s="317"/>
      <c r="AS11" s="317"/>
      <c r="AT11" s="317"/>
      <c r="AU11" s="318"/>
      <c r="AV11" s="318"/>
      <c r="AW11" s="318"/>
      <c r="AX11" s="318"/>
      <c r="AY11" s="318"/>
      <c r="AZ11" s="318"/>
      <c r="BA11" s="318"/>
      <c r="BB11" s="318"/>
      <c r="BC11" s="318"/>
      <c r="BD11" s="318"/>
      <c r="BE11" s="318"/>
      <c r="BF11" s="318"/>
      <c r="BG11" s="319">
        <f>(AU11*'Condition rating weights'!H$8+AV11*'Condition rating weights'!I$8+AW11*'Condition rating weights'!J$8+AX11*'Condition rating weights'!K$8+AY11*'Condition rating weights'!L$8+AZ11*'Condition rating weights'!M$8+BA11*'Condition rating weights'!N$8+BB11*'Condition rating weights'!O$8+BC11*'Condition rating weights'!P$8+BD11*'Condition rating weights'!Q$8+BE11*'Condition rating weights'!R$8+BF11*'Condition rating weights'!S$8)/100</f>
        <v>0</v>
      </c>
      <c r="BH11" s="333"/>
      <c r="BI11" s="333"/>
      <c r="BJ11" s="333"/>
      <c r="BK11" s="333"/>
      <c r="BL11" s="333"/>
      <c r="BM11" s="333"/>
      <c r="BN11" s="333"/>
      <c r="BO11" s="333"/>
      <c r="BP11" s="333"/>
      <c r="BQ11" s="333"/>
      <c r="BR11" s="333"/>
      <c r="BS11" s="333"/>
      <c r="BT11" s="334"/>
      <c r="BU11" s="335"/>
      <c r="BV11" s="255"/>
      <c r="BY11" s="306" t="str">
        <f>'GRC and TUL Assumptions'!A11</f>
        <v>Service Mechanical</v>
      </c>
      <c r="BZ11" s="305">
        <f>'GRC and TUL Assumptions'!C11</f>
        <v>80</v>
      </c>
      <c r="CA11" s="305">
        <f>'GRC and TUL Assumptions'!D11</f>
        <v>100</v>
      </c>
      <c r="CB11" s="305">
        <f>'GRC and TUL Assumptions'!E11</f>
        <v>150</v>
      </c>
      <c r="CC11" s="305">
        <v>0</v>
      </c>
      <c r="CD11" s="305">
        <f>'GRC and TUL Assumptions'!F11</f>
        <v>10</v>
      </c>
      <c r="CE11" s="305">
        <f>'GRC and TUL Assumptions'!G11</f>
        <v>20</v>
      </c>
      <c r="CF11" s="305">
        <f>'GRC and TUL Assumptions'!H11</f>
        <v>30</v>
      </c>
      <c r="CG11" s="305">
        <f t="shared" si="36"/>
        <v>10</v>
      </c>
      <c r="CH11" s="323" t="e">
        <f t="shared" si="5"/>
        <v>#N/A</v>
      </c>
      <c r="CI11" s="323" t="e">
        <f t="shared" si="6"/>
        <v>#N/A</v>
      </c>
      <c r="CJ11" s="323" t="e">
        <f t="shared" si="7"/>
        <v>#N/A</v>
      </c>
      <c r="CK11" s="323" t="e">
        <f t="shared" si="8"/>
        <v>#N/A</v>
      </c>
      <c r="CL11" s="323" t="e">
        <f t="shared" si="9"/>
        <v>#N/A</v>
      </c>
      <c r="CM11" s="323" t="e">
        <f t="shared" si="10"/>
        <v>#N/A</v>
      </c>
      <c r="CN11" s="323" t="e">
        <f t="shared" si="11"/>
        <v>#N/A</v>
      </c>
      <c r="CO11" s="323" t="e">
        <f t="shared" si="12"/>
        <v>#N/A</v>
      </c>
      <c r="CP11" s="323" t="e">
        <f t="shared" si="13"/>
        <v>#N/A</v>
      </c>
      <c r="CQ11" s="323" t="e">
        <f t="shared" si="14"/>
        <v>#N/A</v>
      </c>
      <c r="CR11" s="324" t="e">
        <f t="shared" si="37"/>
        <v>#N/A</v>
      </c>
      <c r="CS11" s="325" t="e">
        <f>(HLOOKUP($AI11,'Inflation Adjustments'!$B$3:$BT$4,2,TRUE))*CH11</f>
        <v>#N/A</v>
      </c>
      <c r="CT11" s="325" t="e">
        <f>(HLOOKUP($AI11,'Inflation Adjustments'!$B$3:$BT$4,2,TRUE))*CI11</f>
        <v>#N/A</v>
      </c>
      <c r="CU11" s="325" t="e">
        <f>(HLOOKUP($AI11,'Inflation Adjustments'!$B$3:$BT$4,2,TRUE))*CJ11</f>
        <v>#N/A</v>
      </c>
      <c r="CV11" s="325" t="e">
        <f>(HLOOKUP($AI11,'Inflation Adjustments'!$B$3:$BT$4,2,TRUE))*CK11</f>
        <v>#N/A</v>
      </c>
      <c r="CW11" s="325" t="e">
        <f>(HLOOKUP($AI11,'Inflation Adjustments'!$B$3:$BT$4,2,TRUE))*CL11</f>
        <v>#N/A</v>
      </c>
      <c r="CX11" s="325" t="e">
        <f>(HLOOKUP($AI11,'Inflation Adjustments'!$B$3:$BT$4,2,TRUE))*CM11</f>
        <v>#N/A</v>
      </c>
      <c r="CY11" s="325" t="e">
        <f>(HLOOKUP($AI11,'Inflation Adjustments'!$B$3:$BT$4,2,TRUE))*CN11</f>
        <v>#N/A</v>
      </c>
      <c r="CZ11" s="325" t="e">
        <f>(HLOOKUP($AI11,'Inflation Adjustments'!$B$3:$BT$4,2,TRUE))*CO11</f>
        <v>#N/A</v>
      </c>
      <c r="DA11" s="325" t="e">
        <f>(HLOOKUP($AI11,'Inflation Adjustments'!$B$3:$BT$4,2,TRUE))*CP11</f>
        <v>#N/A</v>
      </c>
      <c r="DB11" s="325" t="e">
        <f>(HLOOKUP($AI11,'Inflation Adjustments'!$B$3:$BT$4,2,TRUE))*CQ11</f>
        <v>#N/A</v>
      </c>
      <c r="DC11" s="325" t="e">
        <f t="shared" si="38"/>
        <v>#N/A</v>
      </c>
      <c r="DD11" s="326">
        <f t="shared" si="15"/>
        <v>2022</v>
      </c>
      <c r="DE11" s="323" t="e">
        <f t="shared" si="16"/>
        <v>#N/A</v>
      </c>
      <c r="DF11" s="323" t="e">
        <f t="shared" si="17"/>
        <v>#N/A</v>
      </c>
      <c r="DG11" s="323" t="e">
        <f t="shared" si="18"/>
        <v>#N/A</v>
      </c>
      <c r="DH11" s="323" t="e">
        <f t="shared" si="19"/>
        <v>#N/A</v>
      </c>
      <c r="DI11" s="323" t="e">
        <f t="shared" si="20"/>
        <v>#N/A</v>
      </c>
      <c r="DJ11" s="323" t="e">
        <f t="shared" si="21"/>
        <v>#N/A</v>
      </c>
      <c r="DK11" s="323" t="e">
        <f t="shared" si="22"/>
        <v>#N/A</v>
      </c>
      <c r="DL11" s="323" t="e">
        <f t="shared" si="23"/>
        <v>#N/A</v>
      </c>
      <c r="DM11" s="323" t="e">
        <f t="shared" si="24"/>
        <v>#N/A</v>
      </c>
      <c r="DN11" s="323" t="e">
        <f t="shared" si="25"/>
        <v>#N/A</v>
      </c>
      <c r="DO11" s="327" t="e">
        <f t="shared" si="26"/>
        <v>#N/A</v>
      </c>
      <c r="DP11" s="327" t="e">
        <f t="shared" si="27"/>
        <v>#N/A</v>
      </c>
      <c r="DQ11" s="327" t="e">
        <f t="shared" si="27"/>
        <v>#N/A</v>
      </c>
      <c r="DR11" s="327" t="e">
        <f t="shared" si="27"/>
        <v>#N/A</v>
      </c>
      <c r="DS11" s="327" t="e">
        <f t="shared" si="27"/>
        <v>#N/A</v>
      </c>
      <c r="DT11" s="327" t="e">
        <f t="shared" si="27"/>
        <v>#N/A</v>
      </c>
      <c r="DU11" s="327" t="e">
        <f t="shared" si="27"/>
        <v>#N/A</v>
      </c>
      <c r="DV11" s="327" t="e">
        <f t="shared" si="27"/>
        <v>#N/A</v>
      </c>
      <c r="DW11" s="327" t="e">
        <f t="shared" si="27"/>
        <v>#N/A</v>
      </c>
      <c r="DX11" s="327" t="e">
        <f t="shared" si="27"/>
        <v>#N/A</v>
      </c>
      <c r="DY11" s="327" t="e">
        <f t="shared" si="39"/>
        <v>#N/A</v>
      </c>
      <c r="DZ11" s="323" t="e">
        <f t="shared" si="28"/>
        <v>#N/A</v>
      </c>
      <c r="EA11" s="323" t="e">
        <f t="shared" si="29"/>
        <v>#N/A</v>
      </c>
      <c r="EB11" s="323" t="e">
        <f t="shared" si="29"/>
        <v>#N/A</v>
      </c>
      <c r="EC11" s="323" t="e">
        <f t="shared" si="29"/>
        <v>#N/A</v>
      </c>
      <c r="ED11" s="323" t="e">
        <f t="shared" si="29"/>
        <v>#N/A</v>
      </c>
      <c r="EE11" s="323" t="e">
        <f t="shared" si="29"/>
        <v>#N/A</v>
      </c>
      <c r="EF11" s="323" t="e">
        <f t="shared" si="29"/>
        <v>#N/A</v>
      </c>
      <c r="EG11" s="323" t="e">
        <f t="shared" si="29"/>
        <v>#N/A</v>
      </c>
      <c r="EH11" s="323" t="e">
        <f t="shared" si="29"/>
        <v>#N/A</v>
      </c>
      <c r="EI11" s="323" t="e">
        <f t="shared" si="29"/>
        <v>#N/A</v>
      </c>
      <c r="EJ11" s="324" t="e">
        <f t="shared" si="40"/>
        <v>#N/A</v>
      </c>
      <c r="EK11" s="327" t="e">
        <f t="shared" si="30"/>
        <v>#N/A</v>
      </c>
      <c r="EL11" s="327" t="e">
        <f t="shared" si="31"/>
        <v>#N/A</v>
      </c>
      <c r="EM11" s="327" t="e">
        <f t="shared" si="31"/>
        <v>#N/A</v>
      </c>
      <c r="EN11" s="327" t="e">
        <f t="shared" si="31"/>
        <v>#N/A</v>
      </c>
      <c r="EO11" s="327" t="e">
        <f t="shared" si="31"/>
        <v>#N/A</v>
      </c>
      <c r="EP11" s="327" t="e">
        <f t="shared" si="31"/>
        <v>#N/A</v>
      </c>
      <c r="EQ11" s="327" t="e">
        <f t="shared" si="31"/>
        <v>#N/A</v>
      </c>
      <c r="ER11" s="327" t="e">
        <f t="shared" si="31"/>
        <v>#N/A</v>
      </c>
      <c r="ES11" s="327" t="e">
        <f t="shared" si="31"/>
        <v>#N/A</v>
      </c>
      <c r="ET11" s="327" t="e">
        <f t="shared" si="31"/>
        <v>#N/A</v>
      </c>
      <c r="EU11" s="325" t="e">
        <f t="shared" si="41"/>
        <v>#N/A</v>
      </c>
      <c r="EV11" s="336"/>
      <c r="EW11" s="336"/>
      <c r="EX11" s="336"/>
      <c r="EY11" s="336"/>
      <c r="EZ11" s="336"/>
      <c r="FA11" s="336"/>
      <c r="FB11" s="336"/>
    </row>
    <row r="12" spans="1:165" ht="56" customHeight="1" thickTop="1" thickBot="1" x14ac:dyDescent="0.35">
      <c r="A12" s="330"/>
      <c r="B12" s="318"/>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7"/>
      <c r="AN12" s="317"/>
      <c r="AO12" s="317"/>
      <c r="AP12" s="317"/>
      <c r="AQ12" s="317"/>
      <c r="AR12" s="317"/>
      <c r="AS12" s="317"/>
      <c r="AT12" s="317"/>
      <c r="AU12" s="318"/>
      <c r="AV12" s="318"/>
      <c r="AW12" s="318"/>
      <c r="AX12" s="318"/>
      <c r="AY12" s="318"/>
      <c r="AZ12" s="318"/>
      <c r="BA12" s="318"/>
      <c r="BB12" s="318"/>
      <c r="BC12" s="318"/>
      <c r="BD12" s="318"/>
      <c r="BE12" s="318"/>
      <c r="BF12" s="318"/>
      <c r="BG12" s="319">
        <f>(AU12*'Condition rating weights'!H$8+AV12*'Condition rating weights'!I$8+AW12*'Condition rating weights'!J$8+AX12*'Condition rating weights'!K$8+AY12*'Condition rating weights'!L$8+AZ12*'Condition rating weights'!M$8+BA12*'Condition rating weights'!N$8+BB12*'Condition rating weights'!O$8+BC12*'Condition rating weights'!P$8+BD12*'Condition rating weights'!Q$8+BE12*'Condition rating weights'!R$8+BF12*'Condition rating weights'!S$8)/100</f>
        <v>0</v>
      </c>
      <c r="BH12" s="333"/>
      <c r="BI12" s="333"/>
      <c r="BJ12" s="333"/>
      <c r="BK12" s="333"/>
      <c r="BL12" s="333"/>
      <c r="BM12" s="333"/>
      <c r="BN12" s="333"/>
      <c r="BO12" s="333"/>
      <c r="BP12" s="333"/>
      <c r="BQ12" s="333"/>
      <c r="BR12" s="333"/>
      <c r="BS12" s="333"/>
      <c r="BT12" s="334"/>
      <c r="BU12" s="335"/>
      <c r="BV12" s="255"/>
      <c r="BY12" s="306" t="str">
        <f>'GRC and TUL Assumptions'!A12</f>
        <v>Services Electrical</v>
      </c>
      <c r="BZ12" s="305">
        <f>'GRC and TUL Assumptions'!C12</f>
        <v>80</v>
      </c>
      <c r="CA12" s="305">
        <f>'GRC and TUL Assumptions'!D12</f>
        <v>100</v>
      </c>
      <c r="CB12" s="305">
        <f>'GRC and TUL Assumptions'!E12</f>
        <v>150</v>
      </c>
      <c r="CC12" s="305">
        <v>0</v>
      </c>
      <c r="CD12" s="305">
        <f>'GRC and TUL Assumptions'!F12</f>
        <v>20</v>
      </c>
      <c r="CE12" s="305">
        <f>'GRC and TUL Assumptions'!G12</f>
        <v>30</v>
      </c>
      <c r="CF12" s="305">
        <f>'GRC and TUL Assumptions'!H12</f>
        <v>40</v>
      </c>
      <c r="CG12" s="305">
        <f t="shared" si="36"/>
        <v>20</v>
      </c>
      <c r="CH12" s="323" t="e">
        <f t="shared" si="5"/>
        <v>#N/A</v>
      </c>
      <c r="CI12" s="323" t="e">
        <f t="shared" si="6"/>
        <v>#N/A</v>
      </c>
      <c r="CJ12" s="323" t="e">
        <f t="shared" si="7"/>
        <v>#N/A</v>
      </c>
      <c r="CK12" s="323" t="e">
        <f t="shared" si="8"/>
        <v>#N/A</v>
      </c>
      <c r="CL12" s="323" t="e">
        <f t="shared" si="9"/>
        <v>#N/A</v>
      </c>
      <c r="CM12" s="323" t="e">
        <f t="shared" si="10"/>
        <v>#N/A</v>
      </c>
      <c r="CN12" s="323" t="e">
        <f t="shared" si="11"/>
        <v>#N/A</v>
      </c>
      <c r="CO12" s="323" t="e">
        <f t="shared" si="12"/>
        <v>#N/A</v>
      </c>
      <c r="CP12" s="323" t="e">
        <f t="shared" si="13"/>
        <v>#N/A</v>
      </c>
      <c r="CQ12" s="323" t="e">
        <f t="shared" si="14"/>
        <v>#N/A</v>
      </c>
      <c r="CR12" s="324" t="e">
        <f t="shared" si="37"/>
        <v>#N/A</v>
      </c>
      <c r="CS12" s="325" t="e">
        <f>(HLOOKUP($AI12,'Inflation Adjustments'!$B$3:$BT$4,2,TRUE))*CH12</f>
        <v>#N/A</v>
      </c>
      <c r="CT12" s="325" t="e">
        <f>(HLOOKUP($AI12,'Inflation Adjustments'!$B$3:$BT$4,2,TRUE))*CI12</f>
        <v>#N/A</v>
      </c>
      <c r="CU12" s="325" t="e">
        <f>(HLOOKUP($AI12,'Inflation Adjustments'!$B$3:$BT$4,2,TRUE))*CJ12</f>
        <v>#N/A</v>
      </c>
      <c r="CV12" s="325" t="e">
        <f>(HLOOKUP($AI12,'Inflation Adjustments'!$B$3:$BT$4,2,TRUE))*CK12</f>
        <v>#N/A</v>
      </c>
      <c r="CW12" s="325" t="e">
        <f>(HLOOKUP($AI12,'Inflation Adjustments'!$B$3:$BT$4,2,TRUE))*CL12</f>
        <v>#N/A</v>
      </c>
      <c r="CX12" s="325" t="e">
        <f>(HLOOKUP($AI12,'Inflation Adjustments'!$B$3:$BT$4,2,TRUE))*CM12</f>
        <v>#N/A</v>
      </c>
      <c r="CY12" s="325" t="e">
        <f>(HLOOKUP($AI12,'Inflation Adjustments'!$B$3:$BT$4,2,TRUE))*CN12</f>
        <v>#N/A</v>
      </c>
      <c r="CZ12" s="325" t="e">
        <f>(HLOOKUP($AI12,'Inflation Adjustments'!$B$3:$BT$4,2,TRUE))*CO12</f>
        <v>#N/A</v>
      </c>
      <c r="DA12" s="325" t="e">
        <f>(HLOOKUP($AI12,'Inflation Adjustments'!$B$3:$BT$4,2,TRUE))*CP12</f>
        <v>#N/A</v>
      </c>
      <c r="DB12" s="325" t="e">
        <f>(HLOOKUP($AI12,'Inflation Adjustments'!$B$3:$BT$4,2,TRUE))*CQ12</f>
        <v>#N/A</v>
      </c>
      <c r="DC12" s="325" t="e">
        <f t="shared" si="38"/>
        <v>#N/A</v>
      </c>
      <c r="DD12" s="326">
        <f t="shared" si="15"/>
        <v>2022</v>
      </c>
      <c r="DE12" s="323" t="e">
        <f t="shared" si="16"/>
        <v>#N/A</v>
      </c>
      <c r="DF12" s="323" t="e">
        <f t="shared" si="17"/>
        <v>#N/A</v>
      </c>
      <c r="DG12" s="323" t="e">
        <f t="shared" si="18"/>
        <v>#N/A</v>
      </c>
      <c r="DH12" s="323" t="e">
        <f t="shared" si="19"/>
        <v>#N/A</v>
      </c>
      <c r="DI12" s="323" t="e">
        <f t="shared" si="20"/>
        <v>#N/A</v>
      </c>
      <c r="DJ12" s="323" t="e">
        <f t="shared" si="21"/>
        <v>#N/A</v>
      </c>
      <c r="DK12" s="323" t="e">
        <f t="shared" si="22"/>
        <v>#N/A</v>
      </c>
      <c r="DL12" s="323" t="e">
        <f t="shared" si="23"/>
        <v>#N/A</v>
      </c>
      <c r="DM12" s="323" t="e">
        <f t="shared" si="24"/>
        <v>#N/A</v>
      </c>
      <c r="DN12" s="323" t="e">
        <f t="shared" si="25"/>
        <v>#N/A</v>
      </c>
      <c r="DO12" s="327" t="e">
        <f t="shared" si="26"/>
        <v>#N/A</v>
      </c>
      <c r="DP12" s="327" t="e">
        <f t="shared" si="27"/>
        <v>#N/A</v>
      </c>
      <c r="DQ12" s="327" t="e">
        <f t="shared" si="27"/>
        <v>#N/A</v>
      </c>
      <c r="DR12" s="327" t="e">
        <f t="shared" si="27"/>
        <v>#N/A</v>
      </c>
      <c r="DS12" s="327" t="e">
        <f t="shared" si="27"/>
        <v>#N/A</v>
      </c>
      <c r="DT12" s="327" t="e">
        <f t="shared" si="27"/>
        <v>#N/A</v>
      </c>
      <c r="DU12" s="327" t="e">
        <f t="shared" si="27"/>
        <v>#N/A</v>
      </c>
      <c r="DV12" s="327" t="e">
        <f t="shared" si="27"/>
        <v>#N/A</v>
      </c>
      <c r="DW12" s="327" t="e">
        <f t="shared" si="27"/>
        <v>#N/A</v>
      </c>
      <c r="DX12" s="327" t="e">
        <f t="shared" si="27"/>
        <v>#N/A</v>
      </c>
      <c r="DY12" s="327" t="e">
        <f t="shared" si="39"/>
        <v>#N/A</v>
      </c>
      <c r="DZ12" s="323" t="e">
        <f t="shared" si="28"/>
        <v>#N/A</v>
      </c>
      <c r="EA12" s="323" t="e">
        <f t="shared" si="29"/>
        <v>#N/A</v>
      </c>
      <c r="EB12" s="323" t="e">
        <f t="shared" si="29"/>
        <v>#N/A</v>
      </c>
      <c r="EC12" s="323" t="e">
        <f t="shared" si="29"/>
        <v>#N/A</v>
      </c>
      <c r="ED12" s="323" t="e">
        <f t="shared" si="29"/>
        <v>#N/A</v>
      </c>
      <c r="EE12" s="323" t="e">
        <f t="shared" si="29"/>
        <v>#N/A</v>
      </c>
      <c r="EF12" s="323" t="e">
        <f t="shared" si="29"/>
        <v>#N/A</v>
      </c>
      <c r="EG12" s="323" t="e">
        <f t="shared" si="29"/>
        <v>#N/A</v>
      </c>
      <c r="EH12" s="323" t="e">
        <f t="shared" si="29"/>
        <v>#N/A</v>
      </c>
      <c r="EI12" s="323" t="e">
        <f t="shared" si="29"/>
        <v>#N/A</v>
      </c>
      <c r="EJ12" s="324" t="e">
        <f t="shared" si="40"/>
        <v>#N/A</v>
      </c>
      <c r="EK12" s="327" t="e">
        <f t="shared" si="30"/>
        <v>#N/A</v>
      </c>
      <c r="EL12" s="327" t="e">
        <f t="shared" si="31"/>
        <v>#N/A</v>
      </c>
      <c r="EM12" s="327" t="e">
        <f t="shared" si="31"/>
        <v>#N/A</v>
      </c>
      <c r="EN12" s="327" t="e">
        <f t="shared" si="31"/>
        <v>#N/A</v>
      </c>
      <c r="EO12" s="327" t="e">
        <f t="shared" si="31"/>
        <v>#N/A</v>
      </c>
      <c r="EP12" s="327" t="e">
        <f t="shared" si="31"/>
        <v>#N/A</v>
      </c>
      <c r="EQ12" s="327" t="e">
        <f t="shared" si="31"/>
        <v>#N/A</v>
      </c>
      <c r="ER12" s="327" t="e">
        <f t="shared" si="31"/>
        <v>#N/A</v>
      </c>
      <c r="ES12" s="327" t="e">
        <f t="shared" si="31"/>
        <v>#N/A</v>
      </c>
      <c r="ET12" s="327" t="e">
        <f t="shared" si="31"/>
        <v>#N/A</v>
      </c>
      <c r="EU12" s="325" t="e">
        <f t="shared" si="41"/>
        <v>#N/A</v>
      </c>
      <c r="EV12" s="336"/>
      <c r="EW12" s="336"/>
      <c r="EX12" s="336"/>
      <c r="EY12" s="336"/>
      <c r="EZ12" s="336"/>
      <c r="FA12" s="336"/>
      <c r="FB12" s="336"/>
    </row>
    <row r="13" spans="1:165" ht="64" customHeight="1" thickTop="1" thickBot="1" x14ac:dyDescent="0.35">
      <c r="A13" s="330"/>
      <c r="B13" s="318"/>
      <c r="C13" s="318"/>
      <c r="D13" s="318"/>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7"/>
      <c r="AN13" s="317"/>
      <c r="AO13" s="317"/>
      <c r="AP13" s="317"/>
      <c r="AQ13" s="317"/>
      <c r="AR13" s="317"/>
      <c r="AS13" s="317"/>
      <c r="AT13" s="317"/>
      <c r="AU13" s="318"/>
      <c r="AV13" s="318"/>
      <c r="AW13" s="318"/>
      <c r="AX13" s="318"/>
      <c r="AY13" s="318"/>
      <c r="AZ13" s="318"/>
      <c r="BA13" s="318"/>
      <c r="BB13" s="318"/>
      <c r="BC13" s="318"/>
      <c r="BD13" s="318"/>
      <c r="BE13" s="318"/>
      <c r="BF13" s="318"/>
      <c r="BG13" s="319">
        <f>(AU13*'Condition rating weights'!H$8+AV13*'Condition rating weights'!I$8+AW13*'Condition rating weights'!J$8+AX13*'Condition rating weights'!K$8+AY13*'Condition rating weights'!L$8+AZ13*'Condition rating weights'!M$8+BA13*'Condition rating weights'!N$8+BB13*'Condition rating weights'!O$8+BC13*'Condition rating weights'!P$8+BD13*'Condition rating weights'!Q$8+BE13*'Condition rating weights'!R$8+BF13*'Condition rating weights'!S$8)/100</f>
        <v>0</v>
      </c>
      <c r="BH13" s="333"/>
      <c r="BI13" s="333"/>
      <c r="BJ13" s="333"/>
      <c r="BK13" s="333"/>
      <c r="BL13" s="333"/>
      <c r="BM13" s="333"/>
      <c r="BN13" s="333"/>
      <c r="BO13" s="333"/>
      <c r="BP13" s="333"/>
      <c r="BQ13" s="333"/>
      <c r="BR13" s="333"/>
      <c r="BS13" s="333"/>
      <c r="BT13" s="334"/>
      <c r="BU13" s="335"/>
      <c r="BV13" s="255"/>
      <c r="BY13" s="306" t="str">
        <f>'GRC and TUL Assumptions'!A13</f>
        <v>Services Sanitation</v>
      </c>
      <c r="BZ13" s="305">
        <f>'GRC and TUL Assumptions'!C13</f>
        <v>100</v>
      </c>
      <c r="CA13" s="305">
        <f>'GRC and TUL Assumptions'!D13</f>
        <v>130</v>
      </c>
      <c r="CB13" s="305">
        <f>'GRC and TUL Assumptions'!E13</f>
        <v>150</v>
      </c>
      <c r="CC13" s="305">
        <v>0</v>
      </c>
      <c r="CD13" s="305">
        <f>'GRC and TUL Assumptions'!F13</f>
        <v>20</v>
      </c>
      <c r="CE13" s="305">
        <f>'GRC and TUL Assumptions'!G13</f>
        <v>30</v>
      </c>
      <c r="CF13" s="305">
        <f>'GRC and TUL Assumptions'!H13</f>
        <v>40</v>
      </c>
      <c r="CG13" s="305">
        <f t="shared" si="36"/>
        <v>20</v>
      </c>
      <c r="CH13" s="323" t="e">
        <f t="shared" si="5"/>
        <v>#N/A</v>
      </c>
      <c r="CI13" s="323" t="e">
        <f t="shared" si="6"/>
        <v>#N/A</v>
      </c>
      <c r="CJ13" s="323" t="e">
        <f t="shared" si="7"/>
        <v>#N/A</v>
      </c>
      <c r="CK13" s="323" t="e">
        <f t="shared" si="8"/>
        <v>#N/A</v>
      </c>
      <c r="CL13" s="323" t="e">
        <f t="shared" si="9"/>
        <v>#N/A</v>
      </c>
      <c r="CM13" s="323" t="e">
        <f t="shared" si="10"/>
        <v>#N/A</v>
      </c>
      <c r="CN13" s="323" t="e">
        <f t="shared" si="11"/>
        <v>#N/A</v>
      </c>
      <c r="CO13" s="323" t="e">
        <f t="shared" si="12"/>
        <v>#N/A</v>
      </c>
      <c r="CP13" s="323" t="e">
        <f t="shared" si="13"/>
        <v>#N/A</v>
      </c>
      <c r="CQ13" s="323" t="e">
        <f t="shared" si="14"/>
        <v>#N/A</v>
      </c>
      <c r="CR13" s="324" t="e">
        <f t="shared" si="37"/>
        <v>#N/A</v>
      </c>
      <c r="CS13" s="325" t="e">
        <f>(HLOOKUP($AI13,'Inflation Adjustments'!$B$3:$BT$4,2,TRUE))*CH13</f>
        <v>#N/A</v>
      </c>
      <c r="CT13" s="325" t="e">
        <f>(HLOOKUP($AI13,'Inflation Adjustments'!$B$3:$BT$4,2,TRUE))*CI13</f>
        <v>#N/A</v>
      </c>
      <c r="CU13" s="325" t="e">
        <f>(HLOOKUP($AI13,'Inflation Adjustments'!$B$3:$BT$4,2,TRUE))*CJ13</f>
        <v>#N/A</v>
      </c>
      <c r="CV13" s="325" t="e">
        <f>(HLOOKUP($AI13,'Inflation Adjustments'!$B$3:$BT$4,2,TRUE))*CK13</f>
        <v>#N/A</v>
      </c>
      <c r="CW13" s="325" t="e">
        <f>(HLOOKUP($AI13,'Inflation Adjustments'!$B$3:$BT$4,2,TRUE))*CL13</f>
        <v>#N/A</v>
      </c>
      <c r="CX13" s="325" t="e">
        <f>(HLOOKUP($AI13,'Inflation Adjustments'!$B$3:$BT$4,2,TRUE))*CM13</f>
        <v>#N/A</v>
      </c>
      <c r="CY13" s="325" t="e">
        <f>(HLOOKUP($AI13,'Inflation Adjustments'!$B$3:$BT$4,2,TRUE))*CN13</f>
        <v>#N/A</v>
      </c>
      <c r="CZ13" s="325" t="e">
        <f>(HLOOKUP($AI13,'Inflation Adjustments'!$B$3:$BT$4,2,TRUE))*CO13</f>
        <v>#N/A</v>
      </c>
      <c r="DA13" s="325" t="e">
        <f>(HLOOKUP($AI13,'Inflation Adjustments'!$B$3:$BT$4,2,TRUE))*CP13</f>
        <v>#N/A</v>
      </c>
      <c r="DB13" s="325" t="e">
        <f>(HLOOKUP($AI13,'Inflation Adjustments'!$B$3:$BT$4,2,TRUE))*CQ13</f>
        <v>#N/A</v>
      </c>
      <c r="DC13" s="325" t="e">
        <f t="shared" si="38"/>
        <v>#N/A</v>
      </c>
      <c r="DD13" s="326">
        <f t="shared" si="15"/>
        <v>2022</v>
      </c>
      <c r="DE13" s="323" t="e">
        <f t="shared" si="16"/>
        <v>#N/A</v>
      </c>
      <c r="DF13" s="323" t="e">
        <f t="shared" si="17"/>
        <v>#N/A</v>
      </c>
      <c r="DG13" s="323" t="e">
        <f t="shared" si="18"/>
        <v>#N/A</v>
      </c>
      <c r="DH13" s="323" t="e">
        <f t="shared" si="19"/>
        <v>#N/A</v>
      </c>
      <c r="DI13" s="323" t="e">
        <f t="shared" si="20"/>
        <v>#N/A</v>
      </c>
      <c r="DJ13" s="323" t="e">
        <f t="shared" si="21"/>
        <v>#N/A</v>
      </c>
      <c r="DK13" s="323" t="e">
        <f t="shared" si="22"/>
        <v>#N/A</v>
      </c>
      <c r="DL13" s="323" t="e">
        <f t="shared" si="23"/>
        <v>#N/A</v>
      </c>
      <c r="DM13" s="323" t="e">
        <f t="shared" si="24"/>
        <v>#N/A</v>
      </c>
      <c r="DN13" s="323" t="e">
        <f t="shared" si="25"/>
        <v>#N/A</v>
      </c>
      <c r="DO13" s="327" t="e">
        <f t="shared" si="26"/>
        <v>#N/A</v>
      </c>
      <c r="DP13" s="327" t="e">
        <f t="shared" si="27"/>
        <v>#N/A</v>
      </c>
      <c r="DQ13" s="327" t="e">
        <f t="shared" si="27"/>
        <v>#N/A</v>
      </c>
      <c r="DR13" s="327" t="e">
        <f t="shared" si="27"/>
        <v>#N/A</v>
      </c>
      <c r="DS13" s="327" t="e">
        <f t="shared" si="27"/>
        <v>#N/A</v>
      </c>
      <c r="DT13" s="327" t="e">
        <f t="shared" si="27"/>
        <v>#N/A</v>
      </c>
      <c r="DU13" s="327" t="e">
        <f t="shared" si="27"/>
        <v>#N/A</v>
      </c>
      <c r="DV13" s="327" t="e">
        <f t="shared" si="27"/>
        <v>#N/A</v>
      </c>
      <c r="DW13" s="327" t="e">
        <f t="shared" si="27"/>
        <v>#N/A</v>
      </c>
      <c r="DX13" s="327" t="e">
        <f t="shared" si="27"/>
        <v>#N/A</v>
      </c>
      <c r="DY13" s="327" t="e">
        <f t="shared" si="39"/>
        <v>#N/A</v>
      </c>
      <c r="DZ13" s="323" t="e">
        <f t="shared" si="28"/>
        <v>#N/A</v>
      </c>
      <c r="EA13" s="323" t="e">
        <f t="shared" si="29"/>
        <v>#N/A</v>
      </c>
      <c r="EB13" s="323" t="e">
        <f t="shared" si="29"/>
        <v>#N/A</v>
      </c>
      <c r="EC13" s="323" t="e">
        <f t="shared" si="29"/>
        <v>#N/A</v>
      </c>
      <c r="ED13" s="323" t="e">
        <f t="shared" si="29"/>
        <v>#N/A</v>
      </c>
      <c r="EE13" s="323" t="e">
        <f t="shared" si="29"/>
        <v>#N/A</v>
      </c>
      <c r="EF13" s="323" t="e">
        <f t="shared" si="29"/>
        <v>#N/A</v>
      </c>
      <c r="EG13" s="323" t="e">
        <f t="shared" si="29"/>
        <v>#N/A</v>
      </c>
      <c r="EH13" s="323" t="e">
        <f t="shared" si="29"/>
        <v>#N/A</v>
      </c>
      <c r="EI13" s="323" t="e">
        <f t="shared" si="29"/>
        <v>#N/A</v>
      </c>
      <c r="EJ13" s="324" t="e">
        <f t="shared" si="40"/>
        <v>#N/A</v>
      </c>
      <c r="EK13" s="327" t="e">
        <f t="shared" si="30"/>
        <v>#N/A</v>
      </c>
      <c r="EL13" s="327" t="e">
        <f t="shared" si="31"/>
        <v>#N/A</v>
      </c>
      <c r="EM13" s="327" t="e">
        <f t="shared" si="31"/>
        <v>#N/A</v>
      </c>
      <c r="EN13" s="327" t="e">
        <f t="shared" si="31"/>
        <v>#N/A</v>
      </c>
      <c r="EO13" s="327" t="e">
        <f t="shared" si="31"/>
        <v>#N/A</v>
      </c>
      <c r="EP13" s="327" t="e">
        <f t="shared" si="31"/>
        <v>#N/A</v>
      </c>
      <c r="EQ13" s="327" t="e">
        <f t="shared" si="31"/>
        <v>#N/A</v>
      </c>
      <c r="ER13" s="327" t="e">
        <f t="shared" si="31"/>
        <v>#N/A</v>
      </c>
      <c r="ES13" s="327" t="e">
        <f t="shared" si="31"/>
        <v>#N/A</v>
      </c>
      <c r="ET13" s="327" t="e">
        <f t="shared" si="31"/>
        <v>#N/A</v>
      </c>
      <c r="EU13" s="325" t="e">
        <f t="shared" si="41"/>
        <v>#N/A</v>
      </c>
      <c r="EV13" s="336"/>
      <c r="EW13" s="336"/>
      <c r="EX13" s="336"/>
      <c r="EY13" s="336"/>
      <c r="EZ13" s="336"/>
      <c r="FA13" s="336"/>
      <c r="FB13" s="336"/>
    </row>
    <row r="14" spans="1:165" ht="66.5" customHeight="1" thickTop="1" x14ac:dyDescent="0.3">
      <c r="A14" s="330"/>
      <c r="B14" s="318"/>
      <c r="C14" s="318"/>
      <c r="D14" s="318"/>
      <c r="E14" s="318"/>
      <c r="F14" s="318"/>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7"/>
      <c r="AN14" s="317"/>
      <c r="AO14" s="317"/>
      <c r="AP14" s="317"/>
      <c r="AQ14" s="317"/>
      <c r="AR14" s="317"/>
      <c r="AS14" s="317"/>
      <c r="AT14" s="317"/>
      <c r="AU14" s="318"/>
      <c r="AV14" s="318"/>
      <c r="AW14" s="318"/>
      <c r="AX14" s="318"/>
      <c r="AY14" s="318"/>
      <c r="AZ14" s="318"/>
      <c r="BA14" s="318"/>
      <c r="BB14" s="318"/>
      <c r="BC14" s="318"/>
      <c r="BD14" s="318"/>
      <c r="BE14" s="318"/>
      <c r="BF14" s="318"/>
      <c r="BG14" s="319">
        <f>(AU14*'Condition rating weights'!H$8+AV14*'Condition rating weights'!I$8+AW14*'Condition rating weights'!J$8+AX14*'Condition rating weights'!K$8+AY14*'Condition rating weights'!L$8+AZ14*'Condition rating weights'!M$8+BA14*'Condition rating weights'!N$8+BB14*'Condition rating weights'!O$8+BC14*'Condition rating weights'!P$8+BD14*'Condition rating weights'!Q$8+BE14*'Condition rating weights'!R$8+BF14*'Condition rating weights'!S$8)/100</f>
        <v>0</v>
      </c>
      <c r="BH14" s="333"/>
      <c r="BI14" s="333"/>
      <c r="BJ14" s="333"/>
      <c r="BK14" s="333"/>
      <c r="BL14" s="333"/>
      <c r="BM14" s="333"/>
      <c r="BN14" s="333"/>
      <c r="BO14" s="333"/>
      <c r="BP14" s="333"/>
      <c r="BQ14" s="333"/>
      <c r="BR14" s="333"/>
      <c r="BS14" s="333"/>
      <c r="BT14" s="334"/>
      <c r="BU14" s="335"/>
      <c r="BV14" s="255"/>
      <c r="BY14" s="306" t="str">
        <f>'GRC and TUL Assumptions'!A14</f>
        <v>Services Water</v>
      </c>
      <c r="BZ14" s="305">
        <f>'GRC and TUL Assumptions'!C14</f>
        <v>20</v>
      </c>
      <c r="CA14" s="305">
        <f>'GRC and TUL Assumptions'!D14</f>
        <v>40</v>
      </c>
      <c r="CB14" s="305">
        <f>'GRC and TUL Assumptions'!E14</f>
        <v>70</v>
      </c>
      <c r="CC14" s="305">
        <v>0</v>
      </c>
      <c r="CD14" s="305">
        <f>'GRC and TUL Assumptions'!F14</f>
        <v>20</v>
      </c>
      <c r="CE14" s="305">
        <f>'GRC and TUL Assumptions'!G14</f>
        <v>30</v>
      </c>
      <c r="CF14" s="305">
        <f>'GRC and TUL Assumptions'!H14</f>
        <v>40</v>
      </c>
      <c r="CG14" s="305">
        <f t="shared" si="36"/>
        <v>20</v>
      </c>
      <c r="CH14" s="323" t="e">
        <f t="shared" si="5"/>
        <v>#N/A</v>
      </c>
      <c r="CI14" s="323" t="e">
        <f t="shared" si="6"/>
        <v>#N/A</v>
      </c>
      <c r="CJ14" s="323" t="e">
        <f t="shared" si="7"/>
        <v>#N/A</v>
      </c>
      <c r="CK14" s="323" t="e">
        <f t="shared" si="8"/>
        <v>#N/A</v>
      </c>
      <c r="CL14" s="323" t="e">
        <f t="shared" si="9"/>
        <v>#N/A</v>
      </c>
      <c r="CM14" s="323" t="e">
        <f t="shared" si="10"/>
        <v>#N/A</v>
      </c>
      <c r="CN14" s="323" t="e">
        <f t="shared" si="11"/>
        <v>#N/A</v>
      </c>
      <c r="CO14" s="323" t="e">
        <f t="shared" si="12"/>
        <v>#N/A</v>
      </c>
      <c r="CP14" s="323" t="e">
        <f t="shared" si="13"/>
        <v>#N/A</v>
      </c>
      <c r="CQ14" s="323" t="e">
        <f t="shared" si="14"/>
        <v>#N/A</v>
      </c>
      <c r="CR14" s="324" t="e">
        <f t="shared" si="37"/>
        <v>#N/A</v>
      </c>
      <c r="CS14" s="325" t="e">
        <f>(HLOOKUP($AI14,'Inflation Adjustments'!$B$3:$BT$4,2,TRUE))*CH14</f>
        <v>#N/A</v>
      </c>
      <c r="CT14" s="325" t="e">
        <f>(HLOOKUP($AI14,'Inflation Adjustments'!$B$3:$BT$4,2,TRUE))*CI14</f>
        <v>#N/A</v>
      </c>
      <c r="CU14" s="325" t="e">
        <f>(HLOOKUP($AI14,'Inflation Adjustments'!$B$3:$BT$4,2,TRUE))*CJ14</f>
        <v>#N/A</v>
      </c>
      <c r="CV14" s="325" t="e">
        <f>(HLOOKUP($AI14,'Inflation Adjustments'!$B$3:$BT$4,2,TRUE))*CK14</f>
        <v>#N/A</v>
      </c>
      <c r="CW14" s="325" t="e">
        <f>(HLOOKUP($AI14,'Inflation Adjustments'!$B$3:$BT$4,2,TRUE))*CL14</f>
        <v>#N/A</v>
      </c>
      <c r="CX14" s="325" t="e">
        <f>(HLOOKUP($AI14,'Inflation Adjustments'!$B$3:$BT$4,2,TRUE))*CM14</f>
        <v>#N/A</v>
      </c>
      <c r="CY14" s="325" t="e">
        <f>(HLOOKUP($AI14,'Inflation Adjustments'!$B$3:$BT$4,2,TRUE))*CN14</f>
        <v>#N/A</v>
      </c>
      <c r="CZ14" s="325" t="e">
        <f>(HLOOKUP($AI14,'Inflation Adjustments'!$B$3:$BT$4,2,TRUE))*CO14</f>
        <v>#N/A</v>
      </c>
      <c r="DA14" s="325" t="e">
        <f>(HLOOKUP($AI14,'Inflation Adjustments'!$B$3:$BT$4,2,TRUE))*CP14</f>
        <v>#N/A</v>
      </c>
      <c r="DB14" s="325" t="e">
        <f>(HLOOKUP($AI14,'Inflation Adjustments'!$B$3:$BT$4,2,TRUE))*CQ14</f>
        <v>#N/A</v>
      </c>
      <c r="DC14" s="325" t="e">
        <f t="shared" si="38"/>
        <v>#N/A</v>
      </c>
      <c r="DD14" s="326">
        <f t="shared" si="15"/>
        <v>2022</v>
      </c>
      <c r="DE14" s="323" t="e">
        <f t="shared" si="16"/>
        <v>#N/A</v>
      </c>
      <c r="DF14" s="323" t="e">
        <f t="shared" si="17"/>
        <v>#N/A</v>
      </c>
      <c r="DG14" s="323" t="e">
        <f t="shared" si="18"/>
        <v>#N/A</v>
      </c>
      <c r="DH14" s="323" t="e">
        <f t="shared" si="19"/>
        <v>#N/A</v>
      </c>
      <c r="DI14" s="323" t="e">
        <f t="shared" si="20"/>
        <v>#N/A</v>
      </c>
      <c r="DJ14" s="323" t="e">
        <f t="shared" si="21"/>
        <v>#N/A</v>
      </c>
      <c r="DK14" s="323" t="e">
        <f t="shared" si="22"/>
        <v>#N/A</v>
      </c>
      <c r="DL14" s="323" t="e">
        <f t="shared" si="23"/>
        <v>#N/A</v>
      </c>
      <c r="DM14" s="323" t="e">
        <f t="shared" si="24"/>
        <v>#N/A</v>
      </c>
      <c r="DN14" s="323" t="e">
        <f t="shared" si="25"/>
        <v>#N/A</v>
      </c>
      <c r="DO14" s="327" t="e">
        <f t="shared" si="26"/>
        <v>#N/A</v>
      </c>
      <c r="DP14" s="327" t="e">
        <f t="shared" si="27"/>
        <v>#N/A</v>
      </c>
      <c r="DQ14" s="327" t="e">
        <f t="shared" si="27"/>
        <v>#N/A</v>
      </c>
      <c r="DR14" s="327" t="e">
        <f t="shared" si="27"/>
        <v>#N/A</v>
      </c>
      <c r="DS14" s="327" t="e">
        <f t="shared" si="27"/>
        <v>#N/A</v>
      </c>
      <c r="DT14" s="327" t="e">
        <f t="shared" si="27"/>
        <v>#N/A</v>
      </c>
      <c r="DU14" s="327" t="e">
        <f t="shared" si="27"/>
        <v>#N/A</v>
      </c>
      <c r="DV14" s="327" t="e">
        <f t="shared" si="27"/>
        <v>#N/A</v>
      </c>
      <c r="DW14" s="327" t="e">
        <f t="shared" si="27"/>
        <v>#N/A</v>
      </c>
      <c r="DX14" s="327" t="e">
        <f t="shared" si="27"/>
        <v>#N/A</v>
      </c>
      <c r="DY14" s="327" t="e">
        <f t="shared" si="39"/>
        <v>#N/A</v>
      </c>
      <c r="DZ14" s="323" t="e">
        <f t="shared" si="28"/>
        <v>#N/A</v>
      </c>
      <c r="EA14" s="323" t="e">
        <f t="shared" si="29"/>
        <v>#N/A</v>
      </c>
      <c r="EB14" s="323" t="e">
        <f t="shared" si="29"/>
        <v>#N/A</v>
      </c>
      <c r="EC14" s="323" t="e">
        <f t="shared" si="29"/>
        <v>#N/A</v>
      </c>
      <c r="ED14" s="323" t="e">
        <f t="shared" si="29"/>
        <v>#N/A</v>
      </c>
      <c r="EE14" s="323" t="e">
        <f t="shared" si="29"/>
        <v>#N/A</v>
      </c>
      <c r="EF14" s="323" t="e">
        <f t="shared" si="29"/>
        <v>#N/A</v>
      </c>
      <c r="EG14" s="323" t="e">
        <f t="shared" si="29"/>
        <v>#N/A</v>
      </c>
      <c r="EH14" s="323" t="e">
        <f t="shared" si="29"/>
        <v>#N/A</v>
      </c>
      <c r="EI14" s="323" t="e">
        <f t="shared" si="29"/>
        <v>#N/A</v>
      </c>
      <c r="EJ14" s="324" t="e">
        <f t="shared" si="40"/>
        <v>#N/A</v>
      </c>
      <c r="EK14" s="327" t="e">
        <f t="shared" si="30"/>
        <v>#N/A</v>
      </c>
      <c r="EL14" s="327" t="e">
        <f t="shared" si="31"/>
        <v>#N/A</v>
      </c>
      <c r="EM14" s="327" t="e">
        <f t="shared" si="31"/>
        <v>#N/A</v>
      </c>
      <c r="EN14" s="327" t="e">
        <f t="shared" si="31"/>
        <v>#N/A</v>
      </c>
      <c r="EO14" s="327" t="e">
        <f t="shared" si="31"/>
        <v>#N/A</v>
      </c>
      <c r="EP14" s="327" t="e">
        <f t="shared" si="31"/>
        <v>#N/A</v>
      </c>
      <c r="EQ14" s="327" t="e">
        <f t="shared" si="31"/>
        <v>#N/A</v>
      </c>
      <c r="ER14" s="327" t="e">
        <f t="shared" si="31"/>
        <v>#N/A</v>
      </c>
      <c r="ES14" s="327" t="e">
        <f t="shared" si="31"/>
        <v>#N/A</v>
      </c>
      <c r="ET14" s="327" t="e">
        <f t="shared" si="31"/>
        <v>#N/A</v>
      </c>
      <c r="EU14" s="325" t="e">
        <f t="shared" si="41"/>
        <v>#N/A</v>
      </c>
      <c r="EV14" s="336"/>
      <c r="EW14" s="336"/>
      <c r="EX14" s="336"/>
      <c r="EY14" s="336"/>
      <c r="EZ14" s="336"/>
      <c r="FA14" s="336"/>
      <c r="FB14" s="336"/>
    </row>
    <row r="15" spans="1:165" ht="56.5" customHeight="1" x14ac:dyDescent="0.3">
      <c r="A15" s="330"/>
      <c r="B15" s="318"/>
      <c r="C15" s="318"/>
      <c r="D15" s="318"/>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7"/>
      <c r="AN15" s="317"/>
      <c r="AO15" s="317"/>
      <c r="AP15" s="317"/>
      <c r="AQ15" s="317"/>
      <c r="AR15" s="317"/>
      <c r="AS15" s="317"/>
      <c r="AT15" s="317"/>
      <c r="AU15" s="318"/>
      <c r="AV15" s="318"/>
      <c r="AW15" s="318"/>
      <c r="AX15" s="318"/>
      <c r="AY15" s="318"/>
      <c r="AZ15" s="318"/>
      <c r="BA15" s="318"/>
      <c r="BB15" s="318"/>
      <c r="BC15" s="318"/>
      <c r="BD15" s="318"/>
      <c r="BE15" s="318"/>
      <c r="BF15" s="318"/>
      <c r="BG15" s="318"/>
      <c r="BH15" s="333"/>
      <c r="BI15" s="333"/>
      <c r="BJ15" s="333"/>
      <c r="BK15" s="333"/>
      <c r="BL15" s="333"/>
      <c r="BM15" s="333"/>
      <c r="BN15" s="333"/>
      <c r="BO15" s="333"/>
      <c r="BP15" s="333"/>
      <c r="BQ15" s="333"/>
      <c r="BR15" s="333"/>
      <c r="BS15" s="333"/>
      <c r="BT15" s="334"/>
      <c r="BU15" s="335"/>
      <c r="BV15" s="255"/>
      <c r="CD15" s="290"/>
      <c r="CH15" s="323" t="e">
        <f t="shared" si="5"/>
        <v>#N/A</v>
      </c>
      <c r="CI15" s="323" t="e">
        <f t="shared" si="6"/>
        <v>#N/A</v>
      </c>
      <c r="CJ15" s="323" t="e">
        <f t="shared" si="7"/>
        <v>#N/A</v>
      </c>
      <c r="CK15" s="323" t="e">
        <f t="shared" si="8"/>
        <v>#N/A</v>
      </c>
      <c r="CL15" s="323" t="e">
        <f t="shared" si="9"/>
        <v>#N/A</v>
      </c>
      <c r="CM15" s="323" t="e">
        <f t="shared" si="10"/>
        <v>#N/A</v>
      </c>
      <c r="CN15" s="323" t="e">
        <f t="shared" si="11"/>
        <v>#N/A</v>
      </c>
      <c r="CO15" s="323" t="e">
        <f t="shared" si="12"/>
        <v>#N/A</v>
      </c>
      <c r="CP15" s="323" t="e">
        <f t="shared" si="13"/>
        <v>#N/A</v>
      </c>
      <c r="CQ15" s="323" t="e">
        <f t="shared" si="14"/>
        <v>#N/A</v>
      </c>
      <c r="CR15" s="324" t="e">
        <f t="shared" si="37"/>
        <v>#N/A</v>
      </c>
      <c r="CS15" s="325" t="e">
        <f>(HLOOKUP($AI15,'Inflation Adjustments'!$B$3:$BT$4,2,TRUE))*CH15</f>
        <v>#N/A</v>
      </c>
      <c r="CT15" s="325" t="e">
        <f>(HLOOKUP($AI15,'Inflation Adjustments'!$B$3:$BT$4,2,TRUE))*CI15</f>
        <v>#N/A</v>
      </c>
      <c r="CU15" s="325" t="e">
        <f>(HLOOKUP($AI15,'Inflation Adjustments'!$B$3:$BT$4,2,TRUE))*CJ15</f>
        <v>#N/A</v>
      </c>
      <c r="CV15" s="325" t="e">
        <f>(HLOOKUP($AI15,'Inflation Adjustments'!$B$3:$BT$4,2,TRUE))*CK15</f>
        <v>#N/A</v>
      </c>
      <c r="CW15" s="325" t="e">
        <f>(HLOOKUP($AI15,'Inflation Adjustments'!$B$3:$BT$4,2,TRUE))*CL15</f>
        <v>#N/A</v>
      </c>
      <c r="CX15" s="325" t="e">
        <f>(HLOOKUP($AI15,'Inflation Adjustments'!$B$3:$BT$4,2,TRUE))*CM15</f>
        <v>#N/A</v>
      </c>
      <c r="CY15" s="325" t="e">
        <f>(HLOOKUP($AI15,'Inflation Adjustments'!$B$3:$BT$4,2,TRUE))*CN15</f>
        <v>#N/A</v>
      </c>
      <c r="CZ15" s="325" t="e">
        <f>(HLOOKUP($AI15,'Inflation Adjustments'!$B$3:$BT$4,2,TRUE))*CO15</f>
        <v>#N/A</v>
      </c>
      <c r="DA15" s="325" t="e">
        <f>(HLOOKUP($AI15,'Inflation Adjustments'!$B$3:$BT$4,2,TRUE))*CP15</f>
        <v>#N/A</v>
      </c>
      <c r="DB15" s="325" t="e">
        <f>(HLOOKUP($AI15,'Inflation Adjustments'!$B$3:$BT$4,2,TRUE))*CQ15</f>
        <v>#N/A</v>
      </c>
      <c r="DC15" s="325" t="e">
        <f t="shared" si="38"/>
        <v>#N/A</v>
      </c>
      <c r="DD15" s="326">
        <f t="shared" si="15"/>
        <v>2022</v>
      </c>
      <c r="DE15" s="323" t="e">
        <f t="shared" si="16"/>
        <v>#N/A</v>
      </c>
      <c r="DF15" s="323" t="e">
        <f t="shared" si="17"/>
        <v>#N/A</v>
      </c>
      <c r="DG15" s="323" t="e">
        <f t="shared" si="18"/>
        <v>#N/A</v>
      </c>
      <c r="DH15" s="323" t="e">
        <f t="shared" si="19"/>
        <v>#N/A</v>
      </c>
      <c r="DI15" s="323" t="e">
        <f t="shared" si="20"/>
        <v>#N/A</v>
      </c>
      <c r="DJ15" s="323" t="e">
        <f t="shared" si="21"/>
        <v>#N/A</v>
      </c>
      <c r="DK15" s="323" t="e">
        <f t="shared" si="22"/>
        <v>#N/A</v>
      </c>
      <c r="DL15" s="323" t="e">
        <f t="shared" si="23"/>
        <v>#N/A</v>
      </c>
      <c r="DM15" s="323" t="e">
        <f t="shared" si="24"/>
        <v>#N/A</v>
      </c>
      <c r="DN15" s="323" t="e">
        <f t="shared" si="25"/>
        <v>#N/A</v>
      </c>
      <c r="DO15" s="327" t="e">
        <f t="shared" si="26"/>
        <v>#N/A</v>
      </c>
      <c r="DP15" s="327" t="e">
        <f t="shared" si="27"/>
        <v>#N/A</v>
      </c>
      <c r="DQ15" s="327" t="e">
        <f t="shared" si="27"/>
        <v>#N/A</v>
      </c>
      <c r="DR15" s="327" t="e">
        <f t="shared" si="27"/>
        <v>#N/A</v>
      </c>
      <c r="DS15" s="327" t="e">
        <f t="shared" si="27"/>
        <v>#N/A</v>
      </c>
      <c r="DT15" s="327" t="e">
        <f t="shared" si="27"/>
        <v>#N/A</v>
      </c>
      <c r="DU15" s="327" t="e">
        <f t="shared" si="27"/>
        <v>#N/A</v>
      </c>
      <c r="DV15" s="327" t="e">
        <f t="shared" si="27"/>
        <v>#N/A</v>
      </c>
      <c r="DW15" s="327" t="e">
        <f t="shared" si="27"/>
        <v>#N/A</v>
      </c>
      <c r="DX15" s="327" t="e">
        <f t="shared" si="27"/>
        <v>#N/A</v>
      </c>
      <c r="DY15" s="327" t="e">
        <f t="shared" si="39"/>
        <v>#N/A</v>
      </c>
      <c r="DZ15" s="323" t="e">
        <f t="shared" si="28"/>
        <v>#N/A</v>
      </c>
      <c r="EA15" s="323" t="e">
        <f t="shared" si="29"/>
        <v>#N/A</v>
      </c>
      <c r="EB15" s="323" t="e">
        <f t="shared" si="29"/>
        <v>#N/A</v>
      </c>
      <c r="EC15" s="323" t="e">
        <f t="shared" si="29"/>
        <v>#N/A</v>
      </c>
      <c r="ED15" s="323" t="e">
        <f t="shared" si="29"/>
        <v>#N/A</v>
      </c>
      <c r="EE15" s="323" t="e">
        <f t="shared" si="29"/>
        <v>#N/A</v>
      </c>
      <c r="EF15" s="323" t="e">
        <f t="shared" si="29"/>
        <v>#N/A</v>
      </c>
      <c r="EG15" s="323" t="e">
        <f t="shared" si="29"/>
        <v>#N/A</v>
      </c>
      <c r="EH15" s="323" t="e">
        <f t="shared" si="29"/>
        <v>#N/A</v>
      </c>
      <c r="EI15" s="323" t="e">
        <f t="shared" si="29"/>
        <v>#N/A</v>
      </c>
      <c r="EJ15" s="324" t="e">
        <f t="shared" si="40"/>
        <v>#N/A</v>
      </c>
      <c r="EK15" s="327" t="e">
        <f t="shared" si="30"/>
        <v>#N/A</v>
      </c>
      <c r="EL15" s="327" t="e">
        <f t="shared" si="31"/>
        <v>#N/A</v>
      </c>
      <c r="EM15" s="327" t="e">
        <f t="shared" si="31"/>
        <v>#N/A</v>
      </c>
      <c r="EN15" s="327" t="e">
        <f t="shared" si="31"/>
        <v>#N/A</v>
      </c>
      <c r="EO15" s="327" t="e">
        <f t="shared" si="31"/>
        <v>#N/A</v>
      </c>
      <c r="EP15" s="327" t="e">
        <f t="shared" si="31"/>
        <v>#N/A</v>
      </c>
      <c r="EQ15" s="327" t="e">
        <f t="shared" si="31"/>
        <v>#N/A</v>
      </c>
      <c r="ER15" s="327" t="e">
        <f t="shared" si="31"/>
        <v>#N/A</v>
      </c>
      <c r="ES15" s="327" t="e">
        <f t="shared" si="31"/>
        <v>#N/A</v>
      </c>
      <c r="ET15" s="327" t="e">
        <f t="shared" si="31"/>
        <v>#N/A</v>
      </c>
      <c r="EU15" s="325" t="e">
        <f t="shared" si="41"/>
        <v>#N/A</v>
      </c>
      <c r="EV15" s="336"/>
      <c r="EW15" s="336"/>
      <c r="EX15" s="336"/>
      <c r="EY15" s="336"/>
      <c r="EZ15" s="336"/>
      <c r="FA15" s="336"/>
      <c r="FB15" s="336"/>
    </row>
    <row r="16" spans="1:165" ht="41.5" customHeight="1" x14ac:dyDescent="0.3">
      <c r="A16" s="330"/>
      <c r="B16" s="318"/>
      <c r="C16" s="318"/>
      <c r="D16" s="318"/>
      <c r="E16" s="318"/>
      <c r="F16" s="318"/>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18"/>
      <c r="AM16" s="317"/>
      <c r="AN16" s="317"/>
      <c r="AO16" s="317"/>
      <c r="AP16" s="317"/>
      <c r="AQ16" s="317"/>
      <c r="AR16" s="317"/>
      <c r="AS16" s="317"/>
      <c r="AT16" s="317"/>
      <c r="AU16" s="318"/>
      <c r="AV16" s="318"/>
      <c r="AW16" s="318"/>
      <c r="AX16" s="318"/>
      <c r="AY16" s="318"/>
      <c r="AZ16" s="318"/>
      <c r="BA16" s="318"/>
      <c r="BB16" s="318"/>
      <c r="BC16" s="318"/>
      <c r="BD16" s="318"/>
      <c r="BE16" s="318"/>
      <c r="BF16" s="318"/>
      <c r="BG16" s="318"/>
      <c r="BH16" s="333"/>
      <c r="BI16" s="333"/>
      <c r="BJ16" s="333"/>
      <c r="BK16" s="333"/>
      <c r="BL16" s="333"/>
      <c r="BM16" s="333"/>
      <c r="BN16" s="333"/>
      <c r="BO16" s="333"/>
      <c r="BP16" s="333"/>
      <c r="BQ16" s="333"/>
      <c r="BR16" s="333"/>
      <c r="BS16" s="333"/>
      <c r="BT16" s="334"/>
      <c r="BU16" s="335"/>
      <c r="BV16" s="255"/>
      <c r="CH16" s="323" t="e">
        <f t="shared" si="5"/>
        <v>#N/A</v>
      </c>
      <c r="CI16" s="323" t="e">
        <f t="shared" si="6"/>
        <v>#N/A</v>
      </c>
      <c r="CJ16" s="323" t="e">
        <f t="shared" si="7"/>
        <v>#N/A</v>
      </c>
      <c r="CK16" s="323" t="e">
        <f t="shared" si="8"/>
        <v>#N/A</v>
      </c>
      <c r="CL16" s="323" t="e">
        <f t="shared" si="9"/>
        <v>#N/A</v>
      </c>
      <c r="CM16" s="323" t="e">
        <f t="shared" si="10"/>
        <v>#N/A</v>
      </c>
      <c r="CN16" s="323" t="e">
        <f t="shared" si="11"/>
        <v>#N/A</v>
      </c>
      <c r="CO16" s="323" t="e">
        <f t="shared" si="12"/>
        <v>#N/A</v>
      </c>
      <c r="CP16" s="323" t="e">
        <f t="shared" si="13"/>
        <v>#N/A</v>
      </c>
      <c r="CQ16" s="323" t="e">
        <f t="shared" si="14"/>
        <v>#N/A</v>
      </c>
      <c r="CR16" s="324" t="e">
        <f t="shared" si="37"/>
        <v>#N/A</v>
      </c>
      <c r="CS16" s="325" t="e">
        <f>(HLOOKUP($AI16,'Inflation Adjustments'!$B$3:$BT$4,2,TRUE))*CH16</f>
        <v>#N/A</v>
      </c>
      <c r="CT16" s="325" t="e">
        <f>(HLOOKUP($AI16,'Inflation Adjustments'!$B$3:$BT$4,2,TRUE))*CI16</f>
        <v>#N/A</v>
      </c>
      <c r="CU16" s="325" t="e">
        <f>(HLOOKUP($AI16,'Inflation Adjustments'!$B$3:$BT$4,2,TRUE))*CJ16</f>
        <v>#N/A</v>
      </c>
      <c r="CV16" s="325" t="e">
        <f>(HLOOKUP($AI16,'Inflation Adjustments'!$B$3:$BT$4,2,TRUE))*CK16</f>
        <v>#N/A</v>
      </c>
      <c r="CW16" s="325" t="e">
        <f>(HLOOKUP($AI16,'Inflation Adjustments'!$B$3:$BT$4,2,TRUE))*CL16</f>
        <v>#N/A</v>
      </c>
      <c r="CX16" s="325" t="e">
        <f>(HLOOKUP($AI16,'Inflation Adjustments'!$B$3:$BT$4,2,TRUE))*CM16</f>
        <v>#N/A</v>
      </c>
      <c r="CY16" s="325" t="e">
        <f>(HLOOKUP($AI16,'Inflation Adjustments'!$B$3:$BT$4,2,TRUE))*CN16</f>
        <v>#N/A</v>
      </c>
      <c r="CZ16" s="325" t="e">
        <f>(HLOOKUP($AI16,'Inflation Adjustments'!$B$3:$BT$4,2,TRUE))*CO16</f>
        <v>#N/A</v>
      </c>
      <c r="DA16" s="325" t="e">
        <f>(HLOOKUP($AI16,'Inflation Adjustments'!$B$3:$BT$4,2,TRUE))*CP16</f>
        <v>#N/A</v>
      </c>
      <c r="DB16" s="325" t="e">
        <f>(HLOOKUP($AI16,'Inflation Adjustments'!$B$3:$BT$4,2,TRUE))*CQ16</f>
        <v>#N/A</v>
      </c>
      <c r="DC16" s="325" t="e">
        <f t="shared" si="38"/>
        <v>#N/A</v>
      </c>
      <c r="DD16" s="326">
        <f t="shared" si="15"/>
        <v>2022</v>
      </c>
      <c r="DE16" s="323" t="e">
        <f t="shared" si="16"/>
        <v>#N/A</v>
      </c>
      <c r="DF16" s="323" t="e">
        <f t="shared" si="17"/>
        <v>#N/A</v>
      </c>
      <c r="DG16" s="323" t="e">
        <f t="shared" si="18"/>
        <v>#N/A</v>
      </c>
      <c r="DH16" s="323" t="e">
        <f t="shared" si="19"/>
        <v>#N/A</v>
      </c>
      <c r="DI16" s="323" t="e">
        <f t="shared" si="20"/>
        <v>#N/A</v>
      </c>
      <c r="DJ16" s="323" t="e">
        <f t="shared" si="21"/>
        <v>#N/A</v>
      </c>
      <c r="DK16" s="323" t="e">
        <f t="shared" si="22"/>
        <v>#N/A</v>
      </c>
      <c r="DL16" s="323" t="e">
        <f t="shared" si="23"/>
        <v>#N/A</v>
      </c>
      <c r="DM16" s="323" t="e">
        <f t="shared" si="24"/>
        <v>#N/A</v>
      </c>
      <c r="DN16" s="323" t="e">
        <f t="shared" si="25"/>
        <v>#N/A</v>
      </c>
      <c r="DO16" s="327" t="e">
        <f t="shared" si="26"/>
        <v>#N/A</v>
      </c>
      <c r="DP16" s="327" t="e">
        <f t="shared" si="27"/>
        <v>#N/A</v>
      </c>
      <c r="DQ16" s="327" t="e">
        <f t="shared" si="27"/>
        <v>#N/A</v>
      </c>
      <c r="DR16" s="327" t="e">
        <f t="shared" si="27"/>
        <v>#N/A</v>
      </c>
      <c r="DS16" s="327" t="e">
        <f t="shared" si="27"/>
        <v>#N/A</v>
      </c>
      <c r="DT16" s="327" t="e">
        <f t="shared" si="27"/>
        <v>#N/A</v>
      </c>
      <c r="DU16" s="327" t="e">
        <f t="shared" si="27"/>
        <v>#N/A</v>
      </c>
      <c r="DV16" s="327" t="e">
        <f t="shared" si="27"/>
        <v>#N/A</v>
      </c>
      <c r="DW16" s="327" t="e">
        <f t="shared" si="27"/>
        <v>#N/A</v>
      </c>
      <c r="DX16" s="327" t="e">
        <f t="shared" si="27"/>
        <v>#N/A</v>
      </c>
      <c r="DY16" s="327" t="e">
        <f t="shared" si="39"/>
        <v>#N/A</v>
      </c>
      <c r="DZ16" s="323" t="e">
        <f t="shared" si="28"/>
        <v>#N/A</v>
      </c>
      <c r="EA16" s="323" t="e">
        <f t="shared" si="29"/>
        <v>#N/A</v>
      </c>
      <c r="EB16" s="323" t="e">
        <f t="shared" si="29"/>
        <v>#N/A</v>
      </c>
      <c r="EC16" s="323" t="e">
        <f t="shared" si="29"/>
        <v>#N/A</v>
      </c>
      <c r="ED16" s="323" t="e">
        <f t="shared" si="29"/>
        <v>#N/A</v>
      </c>
      <c r="EE16" s="323" t="e">
        <f t="shared" si="29"/>
        <v>#N/A</v>
      </c>
      <c r="EF16" s="323" t="e">
        <f t="shared" si="29"/>
        <v>#N/A</v>
      </c>
      <c r="EG16" s="323" t="e">
        <f t="shared" si="29"/>
        <v>#N/A</v>
      </c>
      <c r="EH16" s="323" t="e">
        <f t="shared" si="29"/>
        <v>#N/A</v>
      </c>
      <c r="EI16" s="323" t="e">
        <f t="shared" si="29"/>
        <v>#N/A</v>
      </c>
      <c r="EJ16" s="324" t="e">
        <f t="shared" si="40"/>
        <v>#N/A</v>
      </c>
      <c r="EK16" s="327" t="e">
        <f t="shared" si="30"/>
        <v>#N/A</v>
      </c>
      <c r="EL16" s="327" t="e">
        <f t="shared" si="31"/>
        <v>#N/A</v>
      </c>
      <c r="EM16" s="327" t="e">
        <f t="shared" si="31"/>
        <v>#N/A</v>
      </c>
      <c r="EN16" s="327" t="e">
        <f t="shared" si="31"/>
        <v>#N/A</v>
      </c>
      <c r="EO16" s="327" t="e">
        <f t="shared" si="31"/>
        <v>#N/A</v>
      </c>
      <c r="EP16" s="327" t="e">
        <f t="shared" si="31"/>
        <v>#N/A</v>
      </c>
      <c r="EQ16" s="327" t="e">
        <f t="shared" si="31"/>
        <v>#N/A</v>
      </c>
      <c r="ER16" s="327" t="e">
        <f t="shared" si="31"/>
        <v>#N/A</v>
      </c>
      <c r="ES16" s="327" t="e">
        <f t="shared" si="31"/>
        <v>#N/A</v>
      </c>
      <c r="ET16" s="327" t="e">
        <f t="shared" si="31"/>
        <v>#N/A</v>
      </c>
      <c r="EU16" s="325" t="e">
        <f t="shared" si="41"/>
        <v>#N/A</v>
      </c>
      <c r="EV16" s="336"/>
      <c r="EW16" s="336"/>
      <c r="EX16" s="336"/>
      <c r="EY16" s="336"/>
      <c r="EZ16" s="336"/>
      <c r="FA16" s="336"/>
      <c r="FB16" s="336"/>
    </row>
    <row r="17" spans="1:158" ht="41.5" customHeight="1" x14ac:dyDescent="0.3">
      <c r="A17" s="330"/>
      <c r="B17" s="318"/>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7"/>
      <c r="AN17" s="317"/>
      <c r="AO17" s="317"/>
      <c r="AP17" s="317"/>
      <c r="AQ17" s="317"/>
      <c r="AR17" s="317"/>
      <c r="AS17" s="317"/>
      <c r="AT17" s="317"/>
      <c r="AU17" s="318"/>
      <c r="AV17" s="318"/>
      <c r="AW17" s="318"/>
      <c r="AX17" s="318"/>
      <c r="AY17" s="318"/>
      <c r="AZ17" s="318"/>
      <c r="BA17" s="318"/>
      <c r="BB17" s="318"/>
      <c r="BC17" s="318"/>
      <c r="BD17" s="318"/>
      <c r="BE17" s="318"/>
      <c r="BF17" s="318"/>
      <c r="BG17" s="318"/>
      <c r="BH17" s="333"/>
      <c r="BI17" s="333"/>
      <c r="BJ17" s="333"/>
      <c r="BK17" s="333"/>
      <c r="BL17" s="333"/>
      <c r="BM17" s="333"/>
      <c r="BN17" s="333"/>
      <c r="BO17" s="333"/>
      <c r="BP17" s="333"/>
      <c r="BQ17" s="333"/>
      <c r="BR17" s="333"/>
      <c r="BS17" s="333"/>
      <c r="BT17" s="334"/>
      <c r="BU17" s="335"/>
      <c r="BV17" s="255"/>
      <c r="CH17" s="323" t="e">
        <f t="shared" si="5"/>
        <v>#N/A</v>
      </c>
      <c r="CI17" s="323" t="e">
        <f t="shared" si="6"/>
        <v>#N/A</v>
      </c>
      <c r="CJ17" s="323" t="e">
        <f t="shared" si="7"/>
        <v>#N/A</v>
      </c>
      <c r="CK17" s="323" t="e">
        <f t="shared" si="8"/>
        <v>#N/A</v>
      </c>
      <c r="CL17" s="323" t="e">
        <f t="shared" si="9"/>
        <v>#N/A</v>
      </c>
      <c r="CM17" s="323" t="e">
        <f t="shared" si="10"/>
        <v>#N/A</v>
      </c>
      <c r="CN17" s="323" t="e">
        <f t="shared" si="11"/>
        <v>#N/A</v>
      </c>
      <c r="CO17" s="323" t="e">
        <f t="shared" si="12"/>
        <v>#N/A</v>
      </c>
      <c r="CP17" s="323" t="e">
        <f t="shared" si="13"/>
        <v>#N/A</v>
      </c>
      <c r="CQ17" s="323" t="e">
        <f t="shared" si="14"/>
        <v>#N/A</v>
      </c>
      <c r="CR17" s="324" t="e">
        <f t="shared" si="37"/>
        <v>#N/A</v>
      </c>
      <c r="CS17" s="325" t="e">
        <f>(HLOOKUP($AI17,'Inflation Adjustments'!$B$3:$BT$4,2,TRUE))*CH17</f>
        <v>#N/A</v>
      </c>
      <c r="CT17" s="325" t="e">
        <f>(HLOOKUP($AI17,'Inflation Adjustments'!$B$3:$BT$4,2,TRUE))*CI17</f>
        <v>#N/A</v>
      </c>
      <c r="CU17" s="325" t="e">
        <f>(HLOOKUP($AI17,'Inflation Adjustments'!$B$3:$BT$4,2,TRUE))*CJ17</f>
        <v>#N/A</v>
      </c>
      <c r="CV17" s="325" t="e">
        <f>(HLOOKUP($AI17,'Inflation Adjustments'!$B$3:$BT$4,2,TRUE))*CK17</f>
        <v>#N/A</v>
      </c>
      <c r="CW17" s="325" t="e">
        <f>(HLOOKUP($AI17,'Inflation Adjustments'!$B$3:$BT$4,2,TRUE))*CL17</f>
        <v>#N/A</v>
      </c>
      <c r="CX17" s="325" t="e">
        <f>(HLOOKUP($AI17,'Inflation Adjustments'!$B$3:$BT$4,2,TRUE))*CM17</f>
        <v>#N/A</v>
      </c>
      <c r="CY17" s="325" t="e">
        <f>(HLOOKUP($AI17,'Inflation Adjustments'!$B$3:$BT$4,2,TRUE))*CN17</f>
        <v>#N/A</v>
      </c>
      <c r="CZ17" s="325" t="e">
        <f>(HLOOKUP($AI17,'Inflation Adjustments'!$B$3:$BT$4,2,TRUE))*CO17</f>
        <v>#N/A</v>
      </c>
      <c r="DA17" s="325" t="e">
        <f>(HLOOKUP($AI17,'Inflation Adjustments'!$B$3:$BT$4,2,TRUE))*CP17</f>
        <v>#N/A</v>
      </c>
      <c r="DB17" s="325" t="e">
        <f>(HLOOKUP($AI17,'Inflation Adjustments'!$B$3:$BT$4,2,TRUE))*CQ17</f>
        <v>#N/A</v>
      </c>
      <c r="DC17" s="325" t="e">
        <f t="shared" si="38"/>
        <v>#N/A</v>
      </c>
      <c r="DD17" s="326">
        <f t="shared" si="15"/>
        <v>2022</v>
      </c>
      <c r="DE17" s="323" t="e">
        <f t="shared" si="16"/>
        <v>#N/A</v>
      </c>
      <c r="DF17" s="323" t="e">
        <f t="shared" si="17"/>
        <v>#N/A</v>
      </c>
      <c r="DG17" s="323" t="e">
        <f t="shared" si="18"/>
        <v>#N/A</v>
      </c>
      <c r="DH17" s="323" t="e">
        <f t="shared" si="19"/>
        <v>#N/A</v>
      </c>
      <c r="DI17" s="323" t="e">
        <f t="shared" si="20"/>
        <v>#N/A</v>
      </c>
      <c r="DJ17" s="323" t="e">
        <f t="shared" si="21"/>
        <v>#N/A</v>
      </c>
      <c r="DK17" s="323" t="e">
        <f t="shared" si="22"/>
        <v>#N/A</v>
      </c>
      <c r="DL17" s="323" t="e">
        <f t="shared" si="23"/>
        <v>#N/A</v>
      </c>
      <c r="DM17" s="323" t="e">
        <f t="shared" si="24"/>
        <v>#N/A</v>
      </c>
      <c r="DN17" s="323" t="e">
        <f t="shared" si="25"/>
        <v>#N/A</v>
      </c>
      <c r="DO17" s="327" t="e">
        <f t="shared" si="26"/>
        <v>#N/A</v>
      </c>
      <c r="DP17" s="327" t="e">
        <f t="shared" ref="DP17:DX20" si="42">CT17/DF17</f>
        <v>#N/A</v>
      </c>
      <c r="DQ17" s="327" t="e">
        <f t="shared" si="42"/>
        <v>#N/A</v>
      </c>
      <c r="DR17" s="327" t="e">
        <f t="shared" si="42"/>
        <v>#N/A</v>
      </c>
      <c r="DS17" s="327" t="e">
        <f t="shared" si="42"/>
        <v>#N/A</v>
      </c>
      <c r="DT17" s="327" t="e">
        <f t="shared" si="42"/>
        <v>#N/A</v>
      </c>
      <c r="DU17" s="327" t="e">
        <f t="shared" si="42"/>
        <v>#N/A</v>
      </c>
      <c r="DV17" s="327" t="e">
        <f t="shared" si="42"/>
        <v>#N/A</v>
      </c>
      <c r="DW17" s="327" t="e">
        <f t="shared" si="42"/>
        <v>#N/A</v>
      </c>
      <c r="DX17" s="327" t="e">
        <f t="shared" si="42"/>
        <v>#N/A</v>
      </c>
      <c r="DY17" s="327" t="e">
        <f t="shared" si="39"/>
        <v>#N/A</v>
      </c>
      <c r="DZ17" s="323" t="e">
        <f t="shared" si="28"/>
        <v>#N/A</v>
      </c>
      <c r="EA17" s="323" t="e">
        <f t="shared" ref="EA17:EI20" si="43">IF(DP17*$DD17&gt;CT17,CT17,DP17*$DD17)</f>
        <v>#N/A</v>
      </c>
      <c r="EB17" s="323" t="e">
        <f t="shared" si="43"/>
        <v>#N/A</v>
      </c>
      <c r="EC17" s="323" t="e">
        <f t="shared" si="43"/>
        <v>#N/A</v>
      </c>
      <c r="ED17" s="323" t="e">
        <f t="shared" si="43"/>
        <v>#N/A</v>
      </c>
      <c r="EE17" s="323" t="e">
        <f t="shared" si="43"/>
        <v>#N/A</v>
      </c>
      <c r="EF17" s="323" t="e">
        <f t="shared" si="43"/>
        <v>#N/A</v>
      </c>
      <c r="EG17" s="323" t="e">
        <f t="shared" si="43"/>
        <v>#N/A</v>
      </c>
      <c r="EH17" s="323" t="e">
        <f t="shared" si="43"/>
        <v>#N/A</v>
      </c>
      <c r="EI17" s="323" t="e">
        <f t="shared" si="43"/>
        <v>#N/A</v>
      </c>
      <c r="EJ17" s="324" t="e">
        <f t="shared" si="40"/>
        <v>#N/A</v>
      </c>
      <c r="EK17" s="327" t="e">
        <f t="shared" si="30"/>
        <v>#N/A</v>
      </c>
      <c r="EL17" s="327" t="e">
        <f t="shared" ref="EL17:ET20" si="44">IF(DP17&lt;(CT17-EA17),DP17,(CT17-EA17))</f>
        <v>#N/A</v>
      </c>
      <c r="EM17" s="327" t="e">
        <f t="shared" si="44"/>
        <v>#N/A</v>
      </c>
      <c r="EN17" s="327" t="e">
        <f t="shared" si="44"/>
        <v>#N/A</v>
      </c>
      <c r="EO17" s="327" t="e">
        <f t="shared" si="44"/>
        <v>#N/A</v>
      </c>
      <c r="EP17" s="327" t="e">
        <f t="shared" si="44"/>
        <v>#N/A</v>
      </c>
      <c r="EQ17" s="327" t="e">
        <f t="shared" si="44"/>
        <v>#N/A</v>
      </c>
      <c r="ER17" s="327" t="e">
        <f t="shared" si="44"/>
        <v>#N/A</v>
      </c>
      <c r="ES17" s="327" t="e">
        <f t="shared" si="44"/>
        <v>#N/A</v>
      </c>
      <c r="ET17" s="327" t="e">
        <f t="shared" si="44"/>
        <v>#N/A</v>
      </c>
      <c r="EU17" s="325" t="e">
        <f t="shared" si="41"/>
        <v>#N/A</v>
      </c>
      <c r="EV17" s="336"/>
      <c r="EW17" s="336"/>
      <c r="EX17" s="336"/>
      <c r="EY17" s="336"/>
      <c r="EZ17" s="336"/>
      <c r="FA17" s="336"/>
      <c r="FB17" s="336"/>
    </row>
    <row r="18" spans="1:158" ht="41.5" customHeight="1" x14ac:dyDescent="0.3">
      <c r="A18" s="330"/>
      <c r="B18" s="318"/>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7"/>
      <c r="AN18" s="317"/>
      <c r="AO18" s="317"/>
      <c r="AP18" s="317"/>
      <c r="AQ18" s="317"/>
      <c r="AR18" s="317"/>
      <c r="AS18" s="317"/>
      <c r="AT18" s="317"/>
      <c r="AU18" s="318"/>
      <c r="AV18" s="318"/>
      <c r="AW18" s="318"/>
      <c r="AX18" s="318"/>
      <c r="AY18" s="318"/>
      <c r="AZ18" s="318"/>
      <c r="BA18" s="318"/>
      <c r="BB18" s="318"/>
      <c r="BC18" s="318"/>
      <c r="BD18" s="318"/>
      <c r="BE18" s="318"/>
      <c r="BF18" s="318"/>
      <c r="BG18" s="318"/>
      <c r="BH18" s="333"/>
      <c r="BI18" s="333"/>
      <c r="BJ18" s="333"/>
      <c r="BK18" s="333"/>
      <c r="BL18" s="333"/>
      <c r="BM18" s="333"/>
      <c r="BN18" s="333"/>
      <c r="BO18" s="333"/>
      <c r="BP18" s="333"/>
      <c r="BQ18" s="333"/>
      <c r="BR18" s="333"/>
      <c r="BS18" s="333"/>
      <c r="BT18" s="334"/>
      <c r="BU18" s="335"/>
      <c r="BV18" s="255"/>
      <c r="CH18" s="323" t="e">
        <f t="shared" si="5"/>
        <v>#N/A</v>
      </c>
      <c r="CI18" s="323" t="e">
        <f t="shared" si="6"/>
        <v>#N/A</v>
      </c>
      <c r="CJ18" s="323" t="e">
        <f t="shared" si="7"/>
        <v>#N/A</v>
      </c>
      <c r="CK18" s="323" t="e">
        <f t="shared" si="8"/>
        <v>#N/A</v>
      </c>
      <c r="CL18" s="323" t="e">
        <f t="shared" si="9"/>
        <v>#N/A</v>
      </c>
      <c r="CM18" s="323" t="e">
        <f t="shared" si="10"/>
        <v>#N/A</v>
      </c>
      <c r="CN18" s="323" t="e">
        <f t="shared" si="11"/>
        <v>#N/A</v>
      </c>
      <c r="CO18" s="323" t="e">
        <f t="shared" si="12"/>
        <v>#N/A</v>
      </c>
      <c r="CP18" s="323" t="e">
        <f t="shared" si="13"/>
        <v>#N/A</v>
      </c>
      <c r="CQ18" s="323" t="e">
        <f t="shared" si="14"/>
        <v>#N/A</v>
      </c>
      <c r="CR18" s="324" t="e">
        <f t="shared" si="37"/>
        <v>#N/A</v>
      </c>
      <c r="CS18" s="325" t="e">
        <f>(HLOOKUP($AI18,'Inflation Adjustments'!$B$3:$BT$4,2,TRUE))*CH18</f>
        <v>#N/A</v>
      </c>
      <c r="CT18" s="325" t="e">
        <f>(HLOOKUP($AI18,'Inflation Adjustments'!$B$3:$BT$4,2,TRUE))*CI18</f>
        <v>#N/A</v>
      </c>
      <c r="CU18" s="325" t="e">
        <f>(HLOOKUP($AI18,'Inflation Adjustments'!$B$3:$BT$4,2,TRUE))*CJ18</f>
        <v>#N/A</v>
      </c>
      <c r="CV18" s="325" t="e">
        <f>(HLOOKUP($AI18,'Inflation Adjustments'!$B$3:$BT$4,2,TRUE))*CK18</f>
        <v>#N/A</v>
      </c>
      <c r="CW18" s="325" t="e">
        <f>(HLOOKUP($AI18,'Inflation Adjustments'!$B$3:$BT$4,2,TRUE))*CL18</f>
        <v>#N/A</v>
      </c>
      <c r="CX18" s="325" t="e">
        <f>(HLOOKUP($AI18,'Inflation Adjustments'!$B$3:$BT$4,2,TRUE))*CM18</f>
        <v>#N/A</v>
      </c>
      <c r="CY18" s="325" t="e">
        <f>(HLOOKUP($AI18,'Inflation Adjustments'!$B$3:$BT$4,2,TRUE))*CN18</f>
        <v>#N/A</v>
      </c>
      <c r="CZ18" s="325" t="e">
        <f>(HLOOKUP($AI18,'Inflation Adjustments'!$B$3:$BT$4,2,TRUE))*CO18</f>
        <v>#N/A</v>
      </c>
      <c r="DA18" s="325" t="e">
        <f>(HLOOKUP($AI18,'Inflation Adjustments'!$B$3:$BT$4,2,TRUE))*CP18</f>
        <v>#N/A</v>
      </c>
      <c r="DB18" s="325" t="e">
        <f>(HLOOKUP($AI18,'Inflation Adjustments'!$B$3:$BT$4,2,TRUE))*CQ18</f>
        <v>#N/A</v>
      </c>
      <c r="DC18" s="325" t="e">
        <f t="shared" si="38"/>
        <v>#N/A</v>
      </c>
      <c r="DD18" s="326">
        <f t="shared" si="15"/>
        <v>2022</v>
      </c>
      <c r="DE18" s="323" t="e">
        <f t="shared" si="16"/>
        <v>#N/A</v>
      </c>
      <c r="DF18" s="323" t="e">
        <f t="shared" si="17"/>
        <v>#N/A</v>
      </c>
      <c r="DG18" s="323" t="e">
        <f t="shared" si="18"/>
        <v>#N/A</v>
      </c>
      <c r="DH18" s="323" t="e">
        <f t="shared" si="19"/>
        <v>#N/A</v>
      </c>
      <c r="DI18" s="323" t="e">
        <f t="shared" si="20"/>
        <v>#N/A</v>
      </c>
      <c r="DJ18" s="323" t="e">
        <f t="shared" si="21"/>
        <v>#N/A</v>
      </c>
      <c r="DK18" s="323" t="e">
        <f t="shared" si="22"/>
        <v>#N/A</v>
      </c>
      <c r="DL18" s="323" t="e">
        <f t="shared" si="23"/>
        <v>#N/A</v>
      </c>
      <c r="DM18" s="323" t="e">
        <f t="shared" si="24"/>
        <v>#N/A</v>
      </c>
      <c r="DN18" s="323" t="e">
        <f t="shared" si="25"/>
        <v>#N/A</v>
      </c>
      <c r="DO18" s="327" t="e">
        <f t="shared" si="26"/>
        <v>#N/A</v>
      </c>
      <c r="DP18" s="327" t="e">
        <f t="shared" si="42"/>
        <v>#N/A</v>
      </c>
      <c r="DQ18" s="327" t="e">
        <f t="shared" si="42"/>
        <v>#N/A</v>
      </c>
      <c r="DR18" s="327" t="e">
        <f t="shared" si="42"/>
        <v>#N/A</v>
      </c>
      <c r="DS18" s="327" t="e">
        <f t="shared" si="42"/>
        <v>#N/A</v>
      </c>
      <c r="DT18" s="327" t="e">
        <f t="shared" si="42"/>
        <v>#N/A</v>
      </c>
      <c r="DU18" s="327" t="e">
        <f t="shared" si="42"/>
        <v>#N/A</v>
      </c>
      <c r="DV18" s="327" t="e">
        <f t="shared" si="42"/>
        <v>#N/A</v>
      </c>
      <c r="DW18" s="327" t="e">
        <f t="shared" si="42"/>
        <v>#N/A</v>
      </c>
      <c r="DX18" s="327" t="e">
        <f t="shared" si="42"/>
        <v>#N/A</v>
      </c>
      <c r="DY18" s="327" t="e">
        <f t="shared" si="39"/>
        <v>#N/A</v>
      </c>
      <c r="DZ18" s="323" t="e">
        <f t="shared" si="28"/>
        <v>#N/A</v>
      </c>
      <c r="EA18" s="323" t="e">
        <f t="shared" si="43"/>
        <v>#N/A</v>
      </c>
      <c r="EB18" s="323" t="e">
        <f t="shared" si="43"/>
        <v>#N/A</v>
      </c>
      <c r="EC18" s="323" t="e">
        <f t="shared" si="43"/>
        <v>#N/A</v>
      </c>
      <c r="ED18" s="323" t="e">
        <f t="shared" si="43"/>
        <v>#N/A</v>
      </c>
      <c r="EE18" s="323" t="e">
        <f t="shared" si="43"/>
        <v>#N/A</v>
      </c>
      <c r="EF18" s="323" t="e">
        <f t="shared" si="43"/>
        <v>#N/A</v>
      </c>
      <c r="EG18" s="323" t="e">
        <f t="shared" si="43"/>
        <v>#N/A</v>
      </c>
      <c r="EH18" s="323" t="e">
        <f t="shared" si="43"/>
        <v>#N/A</v>
      </c>
      <c r="EI18" s="323" t="e">
        <f t="shared" si="43"/>
        <v>#N/A</v>
      </c>
      <c r="EJ18" s="324" t="e">
        <f t="shared" si="40"/>
        <v>#N/A</v>
      </c>
      <c r="EK18" s="327" t="e">
        <f t="shared" si="30"/>
        <v>#N/A</v>
      </c>
      <c r="EL18" s="327" t="e">
        <f t="shared" si="44"/>
        <v>#N/A</v>
      </c>
      <c r="EM18" s="327" t="e">
        <f t="shared" si="44"/>
        <v>#N/A</v>
      </c>
      <c r="EN18" s="327" t="e">
        <f t="shared" si="44"/>
        <v>#N/A</v>
      </c>
      <c r="EO18" s="327" t="e">
        <f t="shared" si="44"/>
        <v>#N/A</v>
      </c>
      <c r="EP18" s="327" t="e">
        <f t="shared" si="44"/>
        <v>#N/A</v>
      </c>
      <c r="EQ18" s="327" t="e">
        <f t="shared" si="44"/>
        <v>#N/A</v>
      </c>
      <c r="ER18" s="327" t="e">
        <f t="shared" si="44"/>
        <v>#N/A</v>
      </c>
      <c r="ES18" s="327" t="e">
        <f t="shared" si="44"/>
        <v>#N/A</v>
      </c>
      <c r="ET18" s="327" t="e">
        <f t="shared" si="44"/>
        <v>#N/A</v>
      </c>
      <c r="EU18" s="325" t="e">
        <f t="shared" si="41"/>
        <v>#N/A</v>
      </c>
      <c r="EV18" s="336"/>
      <c r="EW18" s="336"/>
      <c r="EX18" s="336"/>
      <c r="EY18" s="336"/>
      <c r="EZ18" s="336"/>
      <c r="FA18" s="336"/>
      <c r="FB18" s="336"/>
    </row>
    <row r="19" spans="1:158" ht="59.5" customHeight="1" x14ac:dyDescent="0.3">
      <c r="A19" s="330"/>
      <c r="B19" s="318"/>
      <c r="C19" s="318"/>
      <c r="D19" s="318"/>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7"/>
      <c r="AN19" s="317"/>
      <c r="AO19" s="317"/>
      <c r="AP19" s="317"/>
      <c r="AQ19" s="317"/>
      <c r="AR19" s="317"/>
      <c r="AS19" s="317"/>
      <c r="AT19" s="317"/>
      <c r="AU19" s="318"/>
      <c r="AV19" s="318"/>
      <c r="AW19" s="318"/>
      <c r="AX19" s="318"/>
      <c r="AY19" s="318"/>
      <c r="AZ19" s="318"/>
      <c r="BA19" s="318"/>
      <c r="BB19" s="318"/>
      <c r="BC19" s="318"/>
      <c r="BD19" s="318"/>
      <c r="BE19" s="318"/>
      <c r="BF19" s="318"/>
      <c r="BG19" s="318"/>
      <c r="BH19" s="333"/>
      <c r="BI19" s="333"/>
      <c r="BJ19" s="333"/>
      <c r="BK19" s="333"/>
      <c r="BL19" s="333"/>
      <c r="BM19" s="333"/>
      <c r="BN19" s="333"/>
      <c r="BO19" s="333"/>
      <c r="BP19" s="333"/>
      <c r="BQ19" s="333"/>
      <c r="BR19" s="333"/>
      <c r="BS19" s="333"/>
      <c r="BT19" s="334"/>
      <c r="BU19" s="335"/>
      <c r="BV19" s="255"/>
      <c r="CH19" s="323" t="e">
        <f t="shared" si="5"/>
        <v>#N/A</v>
      </c>
      <c r="CI19" s="323" t="e">
        <f t="shared" si="6"/>
        <v>#N/A</v>
      </c>
      <c r="CJ19" s="323" t="e">
        <f t="shared" si="7"/>
        <v>#N/A</v>
      </c>
      <c r="CK19" s="323" t="e">
        <f t="shared" si="8"/>
        <v>#N/A</v>
      </c>
      <c r="CL19" s="323" t="e">
        <f t="shared" si="9"/>
        <v>#N/A</v>
      </c>
      <c r="CM19" s="323" t="e">
        <f t="shared" si="10"/>
        <v>#N/A</v>
      </c>
      <c r="CN19" s="323" t="e">
        <f t="shared" si="11"/>
        <v>#N/A</v>
      </c>
      <c r="CO19" s="323" t="e">
        <f t="shared" si="12"/>
        <v>#N/A</v>
      </c>
      <c r="CP19" s="323" t="e">
        <f t="shared" si="13"/>
        <v>#N/A</v>
      </c>
      <c r="CQ19" s="323" t="e">
        <f t="shared" si="14"/>
        <v>#N/A</v>
      </c>
      <c r="CR19" s="324" t="e">
        <f t="shared" si="37"/>
        <v>#N/A</v>
      </c>
      <c r="CS19" s="325" t="e">
        <f>(HLOOKUP($AI19,'Inflation Adjustments'!$B$3:$BT$4,2,TRUE))*CH19</f>
        <v>#N/A</v>
      </c>
      <c r="CT19" s="325" t="e">
        <f>(HLOOKUP($AI19,'Inflation Adjustments'!$B$3:$BT$4,2,TRUE))*CI19</f>
        <v>#N/A</v>
      </c>
      <c r="CU19" s="325" t="e">
        <f>(HLOOKUP($AI19,'Inflation Adjustments'!$B$3:$BT$4,2,TRUE))*CJ19</f>
        <v>#N/A</v>
      </c>
      <c r="CV19" s="325" t="e">
        <f>(HLOOKUP($AI19,'Inflation Adjustments'!$B$3:$BT$4,2,TRUE))*CK19</f>
        <v>#N/A</v>
      </c>
      <c r="CW19" s="325" t="e">
        <f>(HLOOKUP($AI19,'Inflation Adjustments'!$B$3:$BT$4,2,TRUE))*CL19</f>
        <v>#N/A</v>
      </c>
      <c r="CX19" s="325" t="e">
        <f>(HLOOKUP($AI19,'Inflation Adjustments'!$B$3:$BT$4,2,TRUE))*CM19</f>
        <v>#N/A</v>
      </c>
      <c r="CY19" s="325" t="e">
        <f>(HLOOKUP($AI19,'Inflation Adjustments'!$B$3:$BT$4,2,TRUE))*CN19</f>
        <v>#N/A</v>
      </c>
      <c r="CZ19" s="325" t="e">
        <f>(HLOOKUP($AI19,'Inflation Adjustments'!$B$3:$BT$4,2,TRUE))*CO19</f>
        <v>#N/A</v>
      </c>
      <c r="DA19" s="325" t="e">
        <f>(HLOOKUP($AI19,'Inflation Adjustments'!$B$3:$BT$4,2,TRUE))*CP19</f>
        <v>#N/A</v>
      </c>
      <c r="DB19" s="325" t="e">
        <f>(HLOOKUP($AI19,'Inflation Adjustments'!$B$3:$BT$4,2,TRUE))*CQ19</f>
        <v>#N/A</v>
      </c>
      <c r="DC19" s="325" t="e">
        <f t="shared" si="38"/>
        <v>#N/A</v>
      </c>
      <c r="DD19" s="326">
        <f t="shared" si="15"/>
        <v>2022</v>
      </c>
      <c r="DE19" s="323" t="e">
        <f t="shared" si="16"/>
        <v>#N/A</v>
      </c>
      <c r="DF19" s="323" t="e">
        <f t="shared" si="17"/>
        <v>#N/A</v>
      </c>
      <c r="DG19" s="323" t="e">
        <f t="shared" si="18"/>
        <v>#N/A</v>
      </c>
      <c r="DH19" s="323" t="e">
        <f t="shared" si="19"/>
        <v>#N/A</v>
      </c>
      <c r="DI19" s="323" t="e">
        <f t="shared" si="20"/>
        <v>#N/A</v>
      </c>
      <c r="DJ19" s="323" t="e">
        <f t="shared" si="21"/>
        <v>#N/A</v>
      </c>
      <c r="DK19" s="323" t="e">
        <f t="shared" si="22"/>
        <v>#N/A</v>
      </c>
      <c r="DL19" s="323" t="e">
        <f t="shared" si="23"/>
        <v>#N/A</v>
      </c>
      <c r="DM19" s="323" t="e">
        <f t="shared" si="24"/>
        <v>#N/A</v>
      </c>
      <c r="DN19" s="323" t="e">
        <f t="shared" si="25"/>
        <v>#N/A</v>
      </c>
      <c r="DO19" s="327" t="e">
        <f t="shared" si="26"/>
        <v>#N/A</v>
      </c>
      <c r="DP19" s="327" t="e">
        <f t="shared" si="42"/>
        <v>#N/A</v>
      </c>
      <c r="DQ19" s="327" t="e">
        <f t="shared" si="42"/>
        <v>#N/A</v>
      </c>
      <c r="DR19" s="327" t="e">
        <f t="shared" si="42"/>
        <v>#N/A</v>
      </c>
      <c r="DS19" s="327" t="e">
        <f t="shared" si="42"/>
        <v>#N/A</v>
      </c>
      <c r="DT19" s="327" t="e">
        <f t="shared" si="42"/>
        <v>#N/A</v>
      </c>
      <c r="DU19" s="327" t="e">
        <f t="shared" si="42"/>
        <v>#N/A</v>
      </c>
      <c r="DV19" s="327" t="e">
        <f t="shared" si="42"/>
        <v>#N/A</v>
      </c>
      <c r="DW19" s="327" t="e">
        <f t="shared" si="42"/>
        <v>#N/A</v>
      </c>
      <c r="DX19" s="327" t="e">
        <f t="shared" si="42"/>
        <v>#N/A</v>
      </c>
      <c r="DY19" s="327" t="e">
        <f t="shared" si="39"/>
        <v>#N/A</v>
      </c>
      <c r="DZ19" s="323" t="e">
        <f t="shared" si="28"/>
        <v>#N/A</v>
      </c>
      <c r="EA19" s="323" t="e">
        <f t="shared" si="43"/>
        <v>#N/A</v>
      </c>
      <c r="EB19" s="323" t="e">
        <f t="shared" si="43"/>
        <v>#N/A</v>
      </c>
      <c r="EC19" s="323" t="e">
        <f t="shared" si="43"/>
        <v>#N/A</v>
      </c>
      <c r="ED19" s="323" t="e">
        <f t="shared" si="43"/>
        <v>#N/A</v>
      </c>
      <c r="EE19" s="323" t="e">
        <f t="shared" si="43"/>
        <v>#N/A</v>
      </c>
      <c r="EF19" s="323" t="e">
        <f t="shared" si="43"/>
        <v>#N/A</v>
      </c>
      <c r="EG19" s="323" t="e">
        <f t="shared" si="43"/>
        <v>#N/A</v>
      </c>
      <c r="EH19" s="323" t="e">
        <f t="shared" si="43"/>
        <v>#N/A</v>
      </c>
      <c r="EI19" s="323" t="e">
        <f t="shared" si="43"/>
        <v>#N/A</v>
      </c>
      <c r="EJ19" s="324" t="e">
        <f t="shared" si="40"/>
        <v>#N/A</v>
      </c>
      <c r="EK19" s="327" t="e">
        <f t="shared" si="30"/>
        <v>#N/A</v>
      </c>
      <c r="EL19" s="327" t="e">
        <f t="shared" si="44"/>
        <v>#N/A</v>
      </c>
      <c r="EM19" s="327" t="e">
        <f t="shared" si="44"/>
        <v>#N/A</v>
      </c>
      <c r="EN19" s="327" t="e">
        <f t="shared" si="44"/>
        <v>#N/A</v>
      </c>
      <c r="EO19" s="327" t="e">
        <f t="shared" si="44"/>
        <v>#N/A</v>
      </c>
      <c r="EP19" s="327" t="e">
        <f t="shared" si="44"/>
        <v>#N/A</v>
      </c>
      <c r="EQ19" s="327" t="e">
        <f t="shared" si="44"/>
        <v>#N/A</v>
      </c>
      <c r="ER19" s="327" t="e">
        <f t="shared" si="44"/>
        <v>#N/A</v>
      </c>
      <c r="ES19" s="327" t="e">
        <f t="shared" si="44"/>
        <v>#N/A</v>
      </c>
      <c r="ET19" s="327" t="e">
        <f t="shared" si="44"/>
        <v>#N/A</v>
      </c>
      <c r="EU19" s="325" t="e">
        <f t="shared" si="41"/>
        <v>#N/A</v>
      </c>
      <c r="EV19" s="336"/>
      <c r="EW19" s="336"/>
      <c r="EX19" s="336"/>
      <c r="EY19" s="336"/>
      <c r="EZ19" s="336"/>
      <c r="FA19" s="336"/>
      <c r="FB19" s="336"/>
    </row>
    <row r="20" spans="1:158" ht="59.5" customHeight="1" x14ac:dyDescent="0.3">
      <c r="A20" s="330"/>
      <c r="B20" s="318"/>
      <c r="C20" s="318"/>
      <c r="D20" s="318"/>
      <c r="E20" s="318"/>
      <c r="F20" s="318"/>
      <c r="G20" s="318"/>
      <c r="H20" s="318"/>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18"/>
      <c r="AI20" s="318"/>
      <c r="AJ20" s="318"/>
      <c r="AK20" s="318"/>
      <c r="AL20" s="318"/>
      <c r="AM20" s="388"/>
      <c r="AN20" s="317"/>
      <c r="AO20" s="388"/>
      <c r="AP20" s="388"/>
      <c r="AQ20" s="388"/>
      <c r="AR20" s="388"/>
      <c r="AS20" s="388"/>
      <c r="AT20" s="388"/>
      <c r="AU20" s="318"/>
      <c r="AV20" s="318"/>
      <c r="AW20" s="318"/>
      <c r="AX20" s="318"/>
      <c r="AY20" s="318"/>
      <c r="AZ20" s="318"/>
      <c r="BA20" s="318"/>
      <c r="BB20" s="318"/>
      <c r="BC20" s="318"/>
      <c r="BD20" s="318"/>
      <c r="BE20" s="318"/>
      <c r="BF20" s="318"/>
      <c r="BG20" s="318"/>
      <c r="BH20" s="333"/>
      <c r="BI20" s="333"/>
      <c r="BJ20" s="333"/>
      <c r="BK20" s="333"/>
      <c r="BL20" s="333"/>
      <c r="BM20" s="333"/>
      <c r="BN20" s="333"/>
      <c r="BO20" s="333"/>
      <c r="BP20" s="333"/>
      <c r="BQ20" s="333"/>
      <c r="BR20" s="333"/>
      <c r="BS20" s="333"/>
      <c r="BT20" s="334"/>
      <c r="BU20" s="335"/>
      <c r="BV20" s="255"/>
      <c r="CH20" s="323" t="e">
        <f t="shared" si="5"/>
        <v>#N/A</v>
      </c>
      <c r="CI20" s="323" t="e">
        <f t="shared" si="6"/>
        <v>#N/A</v>
      </c>
      <c r="CJ20" s="323" t="e">
        <f t="shared" si="7"/>
        <v>#N/A</v>
      </c>
      <c r="CK20" s="323" t="e">
        <f t="shared" si="8"/>
        <v>#N/A</v>
      </c>
      <c r="CL20" s="323" t="e">
        <f t="shared" si="9"/>
        <v>#N/A</v>
      </c>
      <c r="CM20" s="323" t="e">
        <f t="shared" si="10"/>
        <v>#N/A</v>
      </c>
      <c r="CN20" s="323" t="e">
        <f t="shared" si="11"/>
        <v>#N/A</v>
      </c>
      <c r="CO20" s="323" t="e">
        <f t="shared" si="12"/>
        <v>#N/A</v>
      </c>
      <c r="CP20" s="323" t="e">
        <f t="shared" si="13"/>
        <v>#N/A</v>
      </c>
      <c r="CQ20" s="323" t="e">
        <f t="shared" si="14"/>
        <v>#N/A</v>
      </c>
      <c r="CR20" s="324" t="e">
        <f t="shared" si="37"/>
        <v>#N/A</v>
      </c>
      <c r="CS20" s="325" t="e">
        <f>(HLOOKUP($AI20,'Inflation Adjustments'!$B$3:$BT$4,2,TRUE))*CH20</f>
        <v>#N/A</v>
      </c>
      <c r="CT20" s="325" t="e">
        <f>(HLOOKUP($AI20,'Inflation Adjustments'!$B$3:$BT$4,2,TRUE))*CI20</f>
        <v>#N/A</v>
      </c>
      <c r="CU20" s="325" t="e">
        <f>(HLOOKUP($AI20,'Inflation Adjustments'!$B$3:$BT$4,2,TRUE))*CJ20</f>
        <v>#N/A</v>
      </c>
      <c r="CV20" s="325" t="e">
        <f>(HLOOKUP($AI20,'Inflation Adjustments'!$B$3:$BT$4,2,TRUE))*CK20</f>
        <v>#N/A</v>
      </c>
      <c r="CW20" s="325" t="e">
        <f>(HLOOKUP($AI20,'Inflation Adjustments'!$B$3:$BT$4,2,TRUE))*CL20</f>
        <v>#N/A</v>
      </c>
      <c r="CX20" s="325" t="e">
        <f>(HLOOKUP($AI20,'Inflation Adjustments'!$B$3:$BT$4,2,TRUE))*CM20</f>
        <v>#N/A</v>
      </c>
      <c r="CY20" s="325" t="e">
        <f>(HLOOKUP($AI20,'Inflation Adjustments'!$B$3:$BT$4,2,TRUE))*CN20</f>
        <v>#N/A</v>
      </c>
      <c r="CZ20" s="325" t="e">
        <f>(HLOOKUP($AI20,'Inflation Adjustments'!$B$3:$BT$4,2,TRUE))*CO20</f>
        <v>#N/A</v>
      </c>
      <c r="DA20" s="325" t="e">
        <f>(HLOOKUP($AI20,'Inflation Adjustments'!$B$3:$BT$4,2,TRUE))*CP20</f>
        <v>#N/A</v>
      </c>
      <c r="DB20" s="325" t="e">
        <f>(HLOOKUP($AI20,'Inflation Adjustments'!$B$3:$BT$4,2,TRUE))*CQ20</f>
        <v>#N/A</v>
      </c>
      <c r="DC20" s="325" t="e">
        <f t="shared" si="38"/>
        <v>#N/A</v>
      </c>
      <c r="DD20" s="326">
        <f t="shared" si="15"/>
        <v>2022</v>
      </c>
      <c r="DE20" s="323" t="e">
        <f t="shared" si="16"/>
        <v>#N/A</v>
      </c>
      <c r="DF20" s="323" t="e">
        <f t="shared" si="17"/>
        <v>#N/A</v>
      </c>
      <c r="DG20" s="323" t="e">
        <f t="shared" si="18"/>
        <v>#N/A</v>
      </c>
      <c r="DH20" s="323" t="e">
        <f t="shared" si="19"/>
        <v>#N/A</v>
      </c>
      <c r="DI20" s="323" t="e">
        <f t="shared" si="20"/>
        <v>#N/A</v>
      </c>
      <c r="DJ20" s="323" t="e">
        <f t="shared" si="21"/>
        <v>#N/A</v>
      </c>
      <c r="DK20" s="323" t="e">
        <f t="shared" si="22"/>
        <v>#N/A</v>
      </c>
      <c r="DL20" s="323" t="e">
        <f t="shared" si="23"/>
        <v>#N/A</v>
      </c>
      <c r="DM20" s="323" t="e">
        <f t="shared" si="24"/>
        <v>#N/A</v>
      </c>
      <c r="DN20" s="323" t="e">
        <f t="shared" si="25"/>
        <v>#N/A</v>
      </c>
      <c r="DO20" s="327" t="e">
        <f t="shared" si="26"/>
        <v>#N/A</v>
      </c>
      <c r="DP20" s="327" t="e">
        <f t="shared" si="42"/>
        <v>#N/A</v>
      </c>
      <c r="DQ20" s="327" t="e">
        <f t="shared" si="42"/>
        <v>#N/A</v>
      </c>
      <c r="DR20" s="327" t="e">
        <f t="shared" si="42"/>
        <v>#N/A</v>
      </c>
      <c r="DS20" s="327" t="e">
        <f t="shared" si="42"/>
        <v>#N/A</v>
      </c>
      <c r="DT20" s="327" t="e">
        <f t="shared" si="42"/>
        <v>#N/A</v>
      </c>
      <c r="DU20" s="327" t="e">
        <f t="shared" si="42"/>
        <v>#N/A</v>
      </c>
      <c r="DV20" s="327" t="e">
        <f t="shared" si="42"/>
        <v>#N/A</v>
      </c>
      <c r="DW20" s="327" t="e">
        <f t="shared" si="42"/>
        <v>#N/A</v>
      </c>
      <c r="DX20" s="327" t="e">
        <f t="shared" si="42"/>
        <v>#N/A</v>
      </c>
      <c r="DY20" s="327" t="e">
        <f t="shared" si="39"/>
        <v>#N/A</v>
      </c>
      <c r="DZ20" s="323" t="e">
        <f t="shared" si="28"/>
        <v>#N/A</v>
      </c>
      <c r="EA20" s="323" t="e">
        <f t="shared" si="43"/>
        <v>#N/A</v>
      </c>
      <c r="EB20" s="323" t="e">
        <f t="shared" si="43"/>
        <v>#N/A</v>
      </c>
      <c r="EC20" s="323" t="e">
        <f t="shared" si="43"/>
        <v>#N/A</v>
      </c>
      <c r="ED20" s="323" t="e">
        <f t="shared" si="43"/>
        <v>#N/A</v>
      </c>
      <c r="EE20" s="323" t="e">
        <f t="shared" si="43"/>
        <v>#N/A</v>
      </c>
      <c r="EF20" s="323" t="e">
        <f t="shared" si="43"/>
        <v>#N/A</v>
      </c>
      <c r="EG20" s="323" t="e">
        <f t="shared" si="43"/>
        <v>#N/A</v>
      </c>
      <c r="EH20" s="323" t="e">
        <f t="shared" si="43"/>
        <v>#N/A</v>
      </c>
      <c r="EI20" s="323" t="e">
        <f t="shared" si="43"/>
        <v>#N/A</v>
      </c>
      <c r="EJ20" s="324" t="e">
        <f t="shared" si="40"/>
        <v>#N/A</v>
      </c>
      <c r="EK20" s="327" t="e">
        <f t="shared" si="30"/>
        <v>#N/A</v>
      </c>
      <c r="EL20" s="327" t="e">
        <f t="shared" si="44"/>
        <v>#N/A</v>
      </c>
      <c r="EM20" s="327" t="e">
        <f t="shared" si="44"/>
        <v>#N/A</v>
      </c>
      <c r="EN20" s="327" t="e">
        <f t="shared" si="44"/>
        <v>#N/A</v>
      </c>
      <c r="EO20" s="327" t="e">
        <f t="shared" si="44"/>
        <v>#N/A</v>
      </c>
      <c r="EP20" s="327" t="e">
        <f t="shared" si="44"/>
        <v>#N/A</v>
      </c>
      <c r="EQ20" s="327" t="e">
        <f t="shared" si="44"/>
        <v>#N/A</v>
      </c>
      <c r="ER20" s="327" t="e">
        <f t="shared" si="44"/>
        <v>#N/A</v>
      </c>
      <c r="ES20" s="327" t="e">
        <f t="shared" si="44"/>
        <v>#N/A</v>
      </c>
      <c r="ET20" s="327" t="e">
        <f t="shared" si="44"/>
        <v>#N/A</v>
      </c>
      <c r="EU20" s="325" t="e">
        <f t="shared" si="41"/>
        <v>#N/A</v>
      </c>
      <c r="EV20" s="336"/>
      <c r="EW20" s="336"/>
      <c r="EX20" s="336"/>
      <c r="EY20" s="336"/>
      <c r="EZ20" s="336"/>
      <c r="FA20" s="336"/>
      <c r="FB20" s="336"/>
    </row>
    <row r="21" spans="1:158" x14ac:dyDescent="0.3">
      <c r="A21" s="255"/>
      <c r="B21" s="255"/>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c r="BM21" s="255"/>
      <c r="BN21" s="255"/>
      <c r="BO21" s="255"/>
      <c r="BP21" s="255"/>
      <c r="BQ21" s="255"/>
      <c r="BR21" s="255"/>
      <c r="BS21" s="255"/>
      <c r="BT21" s="339"/>
      <c r="BU21" s="339"/>
      <c r="BV21" s="255"/>
      <c r="CH21" s="340"/>
      <c r="CI21" s="340"/>
      <c r="CJ21" s="340"/>
      <c r="CK21" s="340"/>
      <c r="CL21" s="340"/>
      <c r="CM21" s="340"/>
      <c r="CN21" s="340"/>
      <c r="CO21" s="340"/>
      <c r="CP21" s="340"/>
      <c r="CQ21" s="340"/>
      <c r="CR21" s="341"/>
      <c r="CS21" s="341"/>
      <c r="CT21" s="341"/>
      <c r="CU21" s="341"/>
      <c r="CV21" s="341"/>
      <c r="CW21" s="341"/>
    </row>
    <row r="22" spans="1:158" x14ac:dyDescent="0.3">
      <c r="A22" s="255"/>
      <c r="B22" s="255"/>
      <c r="C22" s="255"/>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342"/>
      <c r="AN22" s="255"/>
      <c r="AO22" s="342"/>
      <c r="AP22" s="342"/>
      <c r="AQ22" s="255"/>
      <c r="AR22" s="255"/>
      <c r="AS22" s="389"/>
      <c r="AT22" s="389"/>
      <c r="AU22" s="255"/>
      <c r="AV22" s="255"/>
      <c r="AW22" s="255"/>
      <c r="AX22" s="255"/>
      <c r="AY22" s="255"/>
      <c r="AZ22" s="255"/>
      <c r="BA22" s="255"/>
      <c r="BB22" s="255"/>
      <c r="BC22" s="255"/>
      <c r="BD22" s="255"/>
      <c r="BE22" s="255"/>
      <c r="BF22" s="255"/>
      <c r="BG22" s="255"/>
      <c r="BH22" s="255"/>
      <c r="BI22" s="255"/>
      <c r="BJ22" s="255"/>
      <c r="BK22" s="255"/>
      <c r="BL22" s="255"/>
      <c r="BM22" s="255"/>
      <c r="BN22" s="255"/>
      <c r="BO22" s="255"/>
      <c r="BP22" s="255"/>
      <c r="BQ22" s="255"/>
      <c r="BR22" s="255"/>
      <c r="BS22" s="255"/>
      <c r="BT22" s="339"/>
      <c r="BU22" s="339"/>
      <c r="BV22" s="255"/>
    </row>
    <row r="23" spans="1:158" x14ac:dyDescent="0.3">
      <c r="AT23" s="343"/>
    </row>
    <row r="50" spans="2:46" ht="39" customHeight="1" x14ac:dyDescent="0.3">
      <c r="B50" s="91" t="s">
        <v>52</v>
      </c>
      <c r="AM50" s="508">
        <f>SUM(AM5:AM5)</f>
        <v>249475.91763126428</v>
      </c>
      <c r="AN50" s="508">
        <f t="shared" ref="AN50:AT50" si="45">SUM(AN5:AN5)</f>
        <v>0</v>
      </c>
      <c r="AO50" s="508">
        <f t="shared" si="45"/>
        <v>130044.04833919993</v>
      </c>
      <c r="AP50" s="508">
        <f t="shared" si="45"/>
        <v>119431.86929206435</v>
      </c>
      <c r="AQ50" s="508">
        <f t="shared" si="45"/>
        <v>6494.7591763126429</v>
      </c>
      <c r="AR50" s="508">
        <f t="shared" si="45"/>
        <v>112937.11011575171</v>
      </c>
      <c r="AS50" s="508">
        <f t="shared" si="45"/>
        <v>1259526.2695312498</v>
      </c>
      <c r="AT50" s="508">
        <f t="shared" si="45"/>
        <v>6297.6313476562491</v>
      </c>
    </row>
  </sheetData>
  <mergeCells count="51">
    <mergeCell ref="FB3:FB4"/>
    <mergeCell ref="CS3:DC3"/>
    <mergeCell ref="DE3:DN3"/>
    <mergeCell ref="DO3:DY3"/>
    <mergeCell ref="DZ3:EJ3"/>
    <mergeCell ref="EK3:EU3"/>
    <mergeCell ref="EV3:EV4"/>
    <mergeCell ref="EW3:EW4"/>
    <mergeCell ref="EX3:EX4"/>
    <mergeCell ref="EY3:EY4"/>
    <mergeCell ref="EZ3:EZ4"/>
    <mergeCell ref="FA3:FA4"/>
    <mergeCell ref="CH3:CR3"/>
    <mergeCell ref="BJ3:BJ4"/>
    <mergeCell ref="BK3:BK4"/>
    <mergeCell ref="BL3:BL4"/>
    <mergeCell ref="BM3:BM4"/>
    <mergeCell ref="BN3:BN4"/>
    <mergeCell ref="BO3:BO4"/>
    <mergeCell ref="BP3:BP4"/>
    <mergeCell ref="BQ3:BQ4"/>
    <mergeCell ref="BR3:BR4"/>
    <mergeCell ref="BS3:BS4"/>
    <mergeCell ref="BT3:BT4"/>
    <mergeCell ref="BU3:BU4"/>
    <mergeCell ref="AT3:AT4"/>
    <mergeCell ref="AU3:BD3"/>
    <mergeCell ref="BE3:BE4"/>
    <mergeCell ref="BF3:BF4"/>
    <mergeCell ref="BH3:BH4"/>
    <mergeCell ref="AO3:AO4"/>
    <mergeCell ref="AP3:AP4"/>
    <mergeCell ref="AQ3:AQ4"/>
    <mergeCell ref="AR3:AR4"/>
    <mergeCell ref="AS3:AS4"/>
    <mergeCell ref="A1:B1"/>
    <mergeCell ref="FD5:FI5"/>
    <mergeCell ref="A2:I2"/>
    <mergeCell ref="J2:AE2"/>
    <mergeCell ref="DO2:EJ2"/>
    <mergeCell ref="EV2:FB2"/>
    <mergeCell ref="AM3:AN3"/>
    <mergeCell ref="AF2:AR2"/>
    <mergeCell ref="AS2:BG2"/>
    <mergeCell ref="BH2:BT2"/>
    <mergeCell ref="J3:S3"/>
    <mergeCell ref="T3:AC3"/>
    <mergeCell ref="AD3:AE3"/>
    <mergeCell ref="AG3:AH3"/>
    <mergeCell ref="AI3:AJ3"/>
    <mergeCell ref="BI3:BI4"/>
  </mergeCells>
  <conditionalFormatting sqref="AU5:BA5">
    <cfRule type="cellIs" dxfId="175" priority="10" operator="equal">
      <formula>1</formula>
    </cfRule>
    <cfRule type="cellIs" dxfId="174" priority="11" operator="equal">
      <formula>2</formula>
    </cfRule>
    <cfRule type="cellIs" dxfId="173" priority="12" operator="equal">
      <formula>3</formula>
    </cfRule>
    <cfRule type="cellIs" dxfId="172" priority="13" operator="greaterThan">
      <formula>3.5</formula>
    </cfRule>
  </conditionalFormatting>
  <conditionalFormatting sqref="BE5">
    <cfRule type="cellIs" dxfId="171" priority="6" operator="equal">
      <formula>1</formula>
    </cfRule>
    <cfRule type="cellIs" dxfId="170" priority="7" operator="equal">
      <formula>2</formula>
    </cfRule>
    <cfRule type="cellIs" dxfId="169" priority="8" operator="equal">
      <formula>3</formula>
    </cfRule>
    <cfRule type="cellIs" dxfId="168" priority="9" operator="greaterThan">
      <formula>3.5</formula>
    </cfRule>
  </conditionalFormatting>
  <conditionalFormatting sqref="BG5:BG14">
    <cfRule type="cellIs" dxfId="167" priority="1" operator="lessThan">
      <formula>0.3</formula>
    </cfRule>
    <cfRule type="cellIs" dxfId="166" priority="2" operator="between">
      <formula>0.3</formula>
      <formula>0.5</formula>
    </cfRule>
    <cfRule type="cellIs" dxfId="165" priority="3" operator="between">
      <formula>0.5</formula>
      <formula>0.6</formula>
    </cfRule>
    <cfRule type="cellIs" dxfId="164" priority="4" operator="greaterThan">
      <formula>0.6</formula>
    </cfRule>
    <cfRule type="cellIs" dxfId="163" priority="5" operator="lessThan">
      <formula>0.5</formula>
    </cfRule>
  </conditionalFormatting>
  <dataValidations count="8">
    <dataValidation type="list" allowBlank="1" showInputMessage="1" showErrorMessage="1" sqref="D14:D15 D17:D18" xr:uid="{2416D6FC-8E86-42A9-A5FB-8A239863D144}">
      <formula1>$D$4:$D$19</formula1>
    </dataValidation>
    <dataValidation type="list" allowBlank="1" showInputMessage="1" showErrorMessage="1" sqref="F5:F14 F19:F20" xr:uid="{11F266A5-2E1D-41DF-8600-3EBC3D194774}">
      <formula1>$H$4:$H$21</formula1>
    </dataValidation>
    <dataValidation type="list" allowBlank="1" showInputMessage="1" showErrorMessage="1" sqref="J16:J20" xr:uid="{21D6AE86-2A9F-48B2-B5FA-0A838BA23745}">
      <formula1>$J$5:$J$14</formula1>
    </dataValidation>
    <dataValidation type="list" allowBlank="1" showInputMessage="1" showErrorMessage="1" sqref="K5:K14 K19:K20" xr:uid="{0E709753-C67E-4898-9067-458E2CEBB0C5}">
      <formula1>$J$19:$J$26</formula1>
    </dataValidation>
    <dataValidation type="list" allowBlank="1" showInputMessage="1" showErrorMessage="1" sqref="L5:L8" xr:uid="{5CAF721C-28D7-4CD1-87F9-06E12CD65C01}">
      <formula1>$J$30:$J$36</formula1>
    </dataValidation>
    <dataValidation type="list" allowBlank="1" showInputMessage="1" showErrorMessage="1" sqref="M12 M5:M8" xr:uid="{B303484C-1D90-47D1-AB52-8B695894215E}">
      <formula1>$J$39:$J$45</formula1>
    </dataValidation>
    <dataValidation type="list" allowBlank="1" showInputMessage="1" showErrorMessage="1" sqref="R5:R14 R19:R20" xr:uid="{C981578E-B1D6-4E9B-98E6-988BC8DA99F0}">
      <formula1>$J$88:$J$91</formula1>
    </dataValidation>
    <dataValidation type="list" allowBlank="1" showInputMessage="1" showErrorMessage="1" sqref="Y4:AC4" xr:uid="{241C0E4C-658A-4511-9558-4F0D7F864556}">
      <formula1>$I$4:$I$16</formula1>
    </dataValidation>
  </dataValidations>
  <pageMargins left="0.7" right="0.7" top="0.75" bottom="0.75" header="0.3" footer="0.3"/>
  <headerFooter>
    <oddFooter>&amp;C_x000D_&amp;1#&amp;"Calibri"&amp;8&amp;K000000 INTERNAL. This information is accessible to ADB Management and staff. It may be shared outside ADB with appropriate permission.</oddFooter>
  </headerFooter>
  <extLst>
    <ext xmlns:x14="http://schemas.microsoft.com/office/spreadsheetml/2009/9/main" uri="{CCE6A557-97BC-4b89-ADB6-D9C93CAAB3DF}">
      <x14:dataValidations xmlns:xm="http://schemas.microsoft.com/office/excel/2006/main" count="18">
        <x14:dataValidation type="list" allowBlank="1" showInputMessage="1" showErrorMessage="1" xr:uid="{34734818-6F31-4ED1-A044-C73532FC0F95}">
          <x14:formula1>
            <xm:f>'Condition rating weights'!$C$29:$C$34</xm:f>
          </x14:formula1>
          <xm:sqref>AU5:BF5</xm:sqref>
        </x14:dataValidation>
        <x14:dataValidation type="list" allowBlank="1" showInputMessage="1" showErrorMessage="1" xr:uid="{8DD8F8E2-EEAC-44C8-A0C6-CE06700DEEB0}">
          <x14:formula1>
            <xm:f>'Inflation Adjustments'!$B$3:$BT$3</xm:f>
          </x14:formula1>
          <xm:sqref>AG16 AG5 AG7:AG11 AG19:AG21</xm:sqref>
        </x14:dataValidation>
        <x14:dataValidation type="list" allowBlank="1" showInputMessage="1" showErrorMessage="1" xr:uid="{4A16696A-3B37-4CC7-A771-C08E88D54CEB}">
          <x14:formula1>
            <xm:f>'AR-Hierarchy '!$K$4:$K$17</xm:f>
          </x14:formula1>
          <xm:sqref>T5:AC20</xm:sqref>
        </x14:dataValidation>
        <x14:dataValidation type="list" allowBlank="1" showInputMessage="1" showErrorMessage="1" xr:uid="{6CAEDBE6-3FFB-4CEB-B0CE-7957C07071B7}">
          <x14:formula1>
            <xm:f>'AR-Hierarchy '!$H$4:$H$20</xm:f>
          </x14:formula1>
          <xm:sqref>F16</xm:sqref>
        </x14:dataValidation>
        <x14:dataValidation type="list" allowBlank="1" showInputMessage="1" showErrorMessage="1" xr:uid="{01A58D02-F0DC-4678-B1F0-26FEA326B781}">
          <x14:formula1>
            <xm:f>'AR-Hierarchy '!$I$4:$I$14</xm:f>
          </x14:formula1>
          <xm:sqref>J4:S4</xm:sqref>
        </x14:dataValidation>
        <x14:dataValidation type="list" allowBlank="1" showInputMessage="1" showErrorMessage="1" xr:uid="{E1EC100E-76AE-4BEF-9BE9-7EC1041BA4B0}">
          <x14:formula1>
            <xm:f>'AR-Hierarchy '!$J$14:$J$21</xm:f>
          </x14:formula1>
          <xm:sqref>K16</xm:sqref>
        </x14:dataValidation>
        <x14:dataValidation type="list" allowBlank="1" showInputMessage="1" showErrorMessage="1" xr:uid="{FC8937C1-CF9A-4F7F-827A-EDCFA9BCA34C}">
          <x14:formula1>
            <xm:f>'AR-Hierarchy '!$J$5:$J$12</xm:f>
          </x14:formula1>
          <xm:sqref>J5:J8</xm:sqref>
        </x14:dataValidation>
        <x14:dataValidation type="list" allowBlank="1" showInputMessage="1" showErrorMessage="1" xr:uid="{CCF9ECE1-5EF5-4574-A822-0F3B44F1B8A1}">
          <x14:formula1>
            <xm:f>'AR-Hierarchy '!$J$24:$J$32</xm:f>
          </x14:formula1>
          <xm:sqref>L12:L14</xm:sqref>
        </x14:dataValidation>
        <x14:dataValidation type="list" allowBlank="1" showInputMessage="1" showErrorMessage="1" xr:uid="{CCCDFA57-C4E3-4AB8-AA69-07740D2C2221}">
          <x14:formula1>
            <xm:f>'AR-Hierarchy '!$J$35:$J$41</xm:f>
          </x14:formula1>
          <xm:sqref>M14</xm:sqref>
        </x14:dataValidation>
        <x14:dataValidation type="list" allowBlank="1" showInputMessage="1" showErrorMessage="1" xr:uid="{11A993FE-EE44-40D4-BBF9-5F34F18AFCFE}">
          <x14:formula1>
            <xm:f>'AR-Hierarchy '!$J$45:$J$51</xm:f>
          </x14:formula1>
          <xm:sqref>N5:N8</xm:sqref>
        </x14:dataValidation>
        <x14:dataValidation type="list" allowBlank="1" showInputMessage="1" showErrorMessage="1" xr:uid="{A12B47A8-3B53-4DC6-ADB0-43F4617809F4}">
          <x14:formula1>
            <xm:f>'AR-Hierarchy '!$J$54:$J$60</xm:f>
          </x14:formula1>
          <xm:sqref>O5:O14</xm:sqref>
        </x14:dataValidation>
        <x14:dataValidation type="list" allowBlank="1" showInputMessage="1" showErrorMessage="1" xr:uid="{E4311535-1133-4A21-8BBC-FF81E7C89310}">
          <x14:formula1>
            <xm:f>'AR-Hierarchy '!$J$63:$J$68</xm:f>
          </x14:formula1>
          <xm:sqref>P5:P14</xm:sqref>
        </x14:dataValidation>
        <x14:dataValidation type="list" allowBlank="1" showInputMessage="1" showErrorMessage="1" xr:uid="{29D45C8B-E056-4B42-AB76-C8AE227D70DB}">
          <x14:formula1>
            <xm:f>'AR-Hierarchy '!$J$72:$J$77</xm:f>
          </x14:formula1>
          <xm:sqref>Q5:Q20</xm:sqref>
        </x14:dataValidation>
        <x14:dataValidation type="list" allowBlank="1" showInputMessage="1" showErrorMessage="1" xr:uid="{5C7976FD-5533-4DC1-85E6-9877CBA690CC}">
          <x14:formula1>
            <xm:f>'AR-Hierarchy '!$J$80:$J$83</xm:f>
          </x14:formula1>
          <xm:sqref>R16</xm:sqref>
        </x14:dataValidation>
        <x14:dataValidation type="list" allowBlank="1" showInputMessage="1" showErrorMessage="1" xr:uid="{7DB313D5-4F0E-4648-8D8D-E1E0AF8E2B93}">
          <x14:formula1>
            <xm:f>'AR-Hierarchy '!$J$86:$J$90</xm:f>
          </x14:formula1>
          <xm:sqref>S5:S14</xm:sqref>
        </x14:dataValidation>
        <x14:dataValidation type="list" allowBlank="1" showInputMessage="1" showErrorMessage="1" xr:uid="{DA22FC34-DE59-4CC9-BFF1-CCC84E1EF107}">
          <x14:formula1>
            <xm:f>'AR-Hierarchy '!#REF!</xm:f>
          </x14:formula1>
          <xm:sqref>E5:E14 D7:D12</xm:sqref>
        </x14:dataValidation>
        <x14:dataValidation type="list" allowBlank="1" showInputMessage="1" showErrorMessage="1" xr:uid="{57A2F42A-4013-4673-B389-23B5DFF34F64}">
          <x14:formula1>
            <xm:f>'AR-Hierarchy '!$D$4:$D$33</xm:f>
          </x14:formula1>
          <xm:sqref>D5</xm:sqref>
        </x14:dataValidation>
        <x14:dataValidation type="list" allowBlank="1" showInputMessage="1" showErrorMessage="1" xr:uid="{ACC62366-2FB9-4776-92A4-0358ABBA55E3}">
          <x14:formula1>
            <xm:f>'AR-Hierarchy '!$B$4:$B$53</xm:f>
          </x14:formula1>
          <xm:sqref>C5:C14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7AC3F-1D17-42F6-9F9E-85DD25FB828C}">
  <dimension ref="A1:FI50"/>
  <sheetViews>
    <sheetView topLeftCell="AL50" zoomScale="115" zoomScaleNormal="115" workbookViewId="0">
      <selection activeCell="AN50" sqref="AN50:AT50"/>
    </sheetView>
  </sheetViews>
  <sheetFormatPr defaultColWidth="8.81640625" defaultRowHeight="14" x14ac:dyDescent="0.3"/>
  <cols>
    <col min="1" max="71" width="35.6328125" style="91" customWidth="1"/>
    <col min="72" max="73" width="35.6328125" style="290" customWidth="1"/>
    <col min="74" max="75" width="8.81640625" style="91"/>
    <col min="76" max="76" width="8.81640625" style="91" customWidth="1"/>
    <col min="77" max="77" width="16.08984375" style="91" customWidth="1"/>
    <col min="78" max="85" width="8.81640625" style="91" customWidth="1"/>
    <col min="86" max="86" width="12.08984375" style="91" customWidth="1"/>
    <col min="87" max="87" width="10.90625" style="91" customWidth="1"/>
    <col min="88" max="88" width="11.81640625" style="91" customWidth="1"/>
    <col min="89" max="89" width="11" style="91" customWidth="1"/>
    <col min="90" max="90" width="11.453125" style="91" customWidth="1"/>
    <col min="91" max="91" width="12.54296875" style="91" customWidth="1"/>
    <col min="92" max="92" width="11.08984375" style="91" customWidth="1"/>
    <col min="93" max="93" width="8.81640625" style="91" customWidth="1"/>
    <col min="94" max="94" width="10.453125" style="91" customWidth="1"/>
    <col min="95" max="95" width="11.08984375" style="91" customWidth="1"/>
    <col min="96" max="101" width="12.1796875" style="91" customWidth="1"/>
    <col min="102" max="102" width="11.90625" style="91" customWidth="1"/>
    <col min="103" max="103" width="10.6328125" style="91" customWidth="1"/>
    <col min="104" max="104" width="8.81640625" style="91" customWidth="1"/>
    <col min="105" max="105" width="10.81640625" style="91" customWidth="1"/>
    <col min="106" max="106" width="8.81640625" style="91" customWidth="1"/>
    <col min="107" max="107" width="12" style="91" customWidth="1"/>
    <col min="108" max="108" width="16.36328125" style="91" customWidth="1"/>
    <col min="109" max="109" width="11.1796875" style="91" customWidth="1"/>
    <col min="110" max="113" width="10.6328125" style="91" customWidth="1"/>
    <col min="114" max="114" width="10" style="91" customWidth="1"/>
    <col min="115" max="115" width="10.90625" style="91" customWidth="1"/>
    <col min="116" max="116" width="9.08984375" style="91" customWidth="1"/>
    <col min="117" max="117" width="10.81640625" style="91" customWidth="1"/>
    <col min="118" max="118" width="8.81640625" style="91" customWidth="1"/>
    <col min="119" max="119" width="11.36328125" style="91" customWidth="1"/>
    <col min="120" max="123" width="10.81640625" style="91" customWidth="1"/>
    <col min="124" max="124" width="8.81640625" style="91" customWidth="1"/>
    <col min="125" max="125" width="9.08984375" style="91" customWidth="1"/>
    <col min="126" max="129" width="8.81640625" style="91" customWidth="1"/>
    <col min="130" max="130" width="11.36328125" style="91" customWidth="1"/>
    <col min="131" max="135" width="10.08984375" style="91" customWidth="1"/>
    <col min="136" max="139" width="8.81640625" style="91" customWidth="1"/>
    <col min="140" max="151" width="11.08984375" style="91" customWidth="1"/>
    <col min="152" max="155" width="11.54296875" style="91" customWidth="1"/>
    <col min="156" max="156" width="11.81640625" style="91" customWidth="1"/>
    <col min="157" max="158" width="12.1796875" style="91" customWidth="1"/>
    <col min="159" max="159" width="8.81640625" style="91" customWidth="1"/>
    <col min="160" max="160" width="13.1796875" style="91" customWidth="1"/>
    <col min="161" max="161" width="11.1796875" style="91" customWidth="1"/>
    <col min="162" max="163" width="8.81640625" style="91"/>
    <col min="164" max="164" width="32.453125" style="91" customWidth="1"/>
    <col min="165" max="16384" width="8.81640625" style="91"/>
  </cols>
  <sheetData>
    <row r="1" spans="1:165" ht="29.5" customHeight="1" thickTop="1" x14ac:dyDescent="0.3">
      <c r="A1" s="653" t="s">
        <v>32</v>
      </c>
      <c r="B1" s="654"/>
      <c r="C1" s="288">
        <v>2023</v>
      </c>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row>
    <row r="2" spans="1:165" ht="42" customHeight="1" thickBot="1" x14ac:dyDescent="0.35">
      <c r="A2" s="584" t="s">
        <v>1419</v>
      </c>
      <c r="B2" s="585"/>
      <c r="C2" s="585"/>
      <c r="D2" s="585"/>
      <c r="E2" s="585"/>
      <c r="F2" s="585"/>
      <c r="G2" s="585"/>
      <c r="H2" s="585"/>
      <c r="I2" s="585"/>
      <c r="J2" s="624" t="s">
        <v>298</v>
      </c>
      <c r="K2" s="585"/>
      <c r="L2" s="585"/>
      <c r="M2" s="585"/>
      <c r="N2" s="585"/>
      <c r="O2" s="585"/>
      <c r="P2" s="585"/>
      <c r="Q2" s="585"/>
      <c r="R2" s="585"/>
      <c r="S2" s="585"/>
      <c r="T2" s="585"/>
      <c r="U2" s="585"/>
      <c r="V2" s="585"/>
      <c r="W2" s="585"/>
      <c r="X2" s="585"/>
      <c r="Y2" s="585"/>
      <c r="Z2" s="585"/>
      <c r="AA2" s="585"/>
      <c r="AB2" s="585"/>
      <c r="AC2" s="585"/>
      <c r="AD2" s="585"/>
      <c r="AE2" s="586"/>
      <c r="AF2" s="592" t="s">
        <v>267</v>
      </c>
      <c r="AG2" s="593"/>
      <c r="AH2" s="593"/>
      <c r="AI2" s="593"/>
      <c r="AJ2" s="593"/>
      <c r="AK2" s="593"/>
      <c r="AL2" s="593"/>
      <c r="AM2" s="593"/>
      <c r="AN2" s="593"/>
      <c r="AO2" s="593"/>
      <c r="AP2" s="593"/>
      <c r="AQ2" s="593"/>
      <c r="AR2" s="594"/>
      <c r="AS2" s="592" t="s">
        <v>268</v>
      </c>
      <c r="AT2" s="593"/>
      <c r="AU2" s="593"/>
      <c r="AV2" s="593"/>
      <c r="AW2" s="593"/>
      <c r="AX2" s="593"/>
      <c r="AY2" s="593"/>
      <c r="AZ2" s="593"/>
      <c r="BA2" s="593"/>
      <c r="BB2" s="593"/>
      <c r="BC2" s="593"/>
      <c r="BD2" s="593"/>
      <c r="BE2" s="593"/>
      <c r="BF2" s="593"/>
      <c r="BG2" s="593"/>
      <c r="BH2" s="597" t="s">
        <v>312</v>
      </c>
      <c r="BI2" s="598"/>
      <c r="BJ2" s="598"/>
      <c r="BK2" s="598"/>
      <c r="BL2" s="598"/>
      <c r="BM2" s="598"/>
      <c r="BN2" s="598"/>
      <c r="BO2" s="598"/>
      <c r="BP2" s="598"/>
      <c r="BQ2" s="598"/>
      <c r="BR2" s="598"/>
      <c r="BS2" s="598"/>
      <c r="BT2" s="599"/>
      <c r="BU2" s="390"/>
      <c r="DO2" s="589" t="s">
        <v>828</v>
      </c>
      <c r="DP2" s="589"/>
      <c r="DQ2" s="589"/>
      <c r="DR2" s="589"/>
      <c r="DS2" s="589"/>
      <c r="DT2" s="589"/>
      <c r="DU2" s="589"/>
      <c r="DV2" s="589"/>
      <c r="DW2" s="589"/>
      <c r="DX2" s="589"/>
      <c r="DY2" s="589"/>
      <c r="DZ2" s="589"/>
      <c r="EA2" s="589"/>
      <c r="EB2" s="589"/>
      <c r="EC2" s="589"/>
      <c r="ED2" s="589"/>
      <c r="EE2" s="589"/>
      <c r="EF2" s="589"/>
      <c r="EG2" s="589"/>
      <c r="EH2" s="589"/>
      <c r="EI2" s="589"/>
      <c r="EJ2" s="589"/>
      <c r="EK2" s="93"/>
      <c r="EL2" s="93"/>
      <c r="EM2" s="93"/>
      <c r="EN2" s="93"/>
      <c r="EO2" s="93"/>
      <c r="EP2" s="93"/>
      <c r="EQ2" s="93"/>
      <c r="ER2" s="93"/>
      <c r="ES2" s="93"/>
      <c r="ET2" s="93"/>
      <c r="EU2" s="93"/>
      <c r="EV2" s="590" t="s">
        <v>829</v>
      </c>
      <c r="EW2" s="590"/>
      <c r="EX2" s="590"/>
      <c r="EY2" s="590"/>
      <c r="EZ2" s="590"/>
      <c r="FA2" s="590"/>
      <c r="FB2" s="590"/>
    </row>
    <row r="3" spans="1:165" ht="42" customHeight="1" thickTop="1" x14ac:dyDescent="0.3">
      <c r="A3" s="293" t="s">
        <v>0</v>
      </c>
      <c r="B3" s="294" t="s">
        <v>34</v>
      </c>
      <c r="C3" s="294" t="s">
        <v>250</v>
      </c>
      <c r="D3" s="294" t="s">
        <v>251</v>
      </c>
      <c r="E3" s="294" t="s">
        <v>1</v>
      </c>
      <c r="F3" s="294" t="s">
        <v>2</v>
      </c>
      <c r="G3" s="294" t="s">
        <v>252</v>
      </c>
      <c r="H3" s="294" t="s">
        <v>30</v>
      </c>
      <c r="I3" s="294" t="s">
        <v>31</v>
      </c>
      <c r="J3" s="616" t="s">
        <v>253</v>
      </c>
      <c r="K3" s="625"/>
      <c r="L3" s="625"/>
      <c r="M3" s="625"/>
      <c r="N3" s="625"/>
      <c r="O3" s="625"/>
      <c r="P3" s="625"/>
      <c r="Q3" s="625"/>
      <c r="R3" s="625"/>
      <c r="S3" s="626"/>
      <c r="T3" s="616" t="s">
        <v>254</v>
      </c>
      <c r="U3" s="625"/>
      <c r="V3" s="625"/>
      <c r="W3" s="625"/>
      <c r="X3" s="625"/>
      <c r="Y3" s="625"/>
      <c r="Z3" s="625"/>
      <c r="AA3" s="625"/>
      <c r="AB3" s="625"/>
      <c r="AC3" s="626"/>
      <c r="AD3" s="391" t="s">
        <v>255</v>
      </c>
      <c r="AE3" s="392"/>
      <c r="AF3" s="294" t="s">
        <v>259</v>
      </c>
      <c r="AG3" s="393" t="s">
        <v>38</v>
      </c>
      <c r="AH3" s="394"/>
      <c r="AI3" s="393" t="s">
        <v>261</v>
      </c>
      <c r="AJ3" s="395"/>
      <c r="AK3" s="296"/>
      <c r="AL3" s="296"/>
      <c r="AM3" s="395" t="s">
        <v>262</v>
      </c>
      <c r="AN3" s="395"/>
      <c r="AO3" s="395" t="s">
        <v>263</v>
      </c>
      <c r="AP3" s="395" t="s">
        <v>326</v>
      </c>
      <c r="AQ3" s="394" t="s">
        <v>33</v>
      </c>
      <c r="AR3" s="396" t="s">
        <v>264</v>
      </c>
      <c r="AS3" s="609" t="s">
        <v>265</v>
      </c>
      <c r="AT3" s="609" t="s">
        <v>266</v>
      </c>
      <c r="AU3" s="603" t="s">
        <v>53</v>
      </c>
      <c r="AV3" s="591"/>
      <c r="AW3" s="591"/>
      <c r="AX3" s="591"/>
      <c r="AY3" s="591"/>
      <c r="AZ3" s="591"/>
      <c r="BA3" s="591"/>
      <c r="BB3" s="591"/>
      <c r="BC3" s="591"/>
      <c r="BD3" s="604"/>
      <c r="BE3" s="609" t="s">
        <v>1580</v>
      </c>
      <c r="BF3" s="609"/>
      <c r="BG3" s="295" t="s">
        <v>1442</v>
      </c>
      <c r="BH3" s="605" t="s">
        <v>299</v>
      </c>
      <c r="BI3" s="605" t="s">
        <v>300</v>
      </c>
      <c r="BJ3" s="605" t="s">
        <v>301</v>
      </c>
      <c r="BK3" s="605" t="s">
        <v>302</v>
      </c>
      <c r="BL3" s="605" t="s">
        <v>303</v>
      </c>
      <c r="BM3" s="605" t="s">
        <v>304</v>
      </c>
      <c r="BN3" s="605" t="s">
        <v>305</v>
      </c>
      <c r="BO3" s="605" t="s">
        <v>306</v>
      </c>
      <c r="BP3" s="605" t="s">
        <v>307</v>
      </c>
      <c r="BQ3" s="605" t="s">
        <v>308</v>
      </c>
      <c r="BR3" s="605" t="s">
        <v>309</v>
      </c>
      <c r="BS3" s="605" t="s">
        <v>310</v>
      </c>
      <c r="BT3" s="616" t="s">
        <v>311</v>
      </c>
      <c r="BU3" s="617" t="s">
        <v>1428</v>
      </c>
      <c r="BY3" s="144"/>
      <c r="BZ3" s="144"/>
      <c r="CA3" s="372" t="s">
        <v>809</v>
      </c>
      <c r="CB3" s="144"/>
      <c r="CC3" s="144"/>
      <c r="CD3" s="144"/>
      <c r="CE3" s="144"/>
      <c r="CF3" s="144"/>
      <c r="CG3" s="144"/>
      <c r="CH3" s="639" t="s">
        <v>816</v>
      </c>
      <c r="CI3" s="639"/>
      <c r="CJ3" s="639"/>
      <c r="CK3" s="639"/>
      <c r="CL3" s="639"/>
      <c r="CM3" s="639"/>
      <c r="CN3" s="639"/>
      <c r="CO3" s="639"/>
      <c r="CP3" s="639"/>
      <c r="CQ3" s="639"/>
      <c r="CR3" s="639"/>
      <c r="CS3" s="646" t="s">
        <v>262</v>
      </c>
      <c r="CT3" s="646"/>
      <c r="CU3" s="646"/>
      <c r="CV3" s="646"/>
      <c r="CW3" s="646"/>
      <c r="CX3" s="646"/>
      <c r="CY3" s="646"/>
      <c r="CZ3" s="646"/>
      <c r="DA3" s="646"/>
      <c r="DB3" s="646"/>
      <c r="DC3" s="646"/>
      <c r="DD3" s="371"/>
      <c r="DE3" s="639" t="s">
        <v>825</v>
      </c>
      <c r="DF3" s="639"/>
      <c r="DG3" s="639"/>
      <c r="DH3" s="639"/>
      <c r="DI3" s="639"/>
      <c r="DJ3" s="639"/>
      <c r="DK3" s="639"/>
      <c r="DL3" s="639"/>
      <c r="DM3" s="639"/>
      <c r="DN3" s="639"/>
      <c r="DO3" s="646" t="s">
        <v>827</v>
      </c>
      <c r="DP3" s="646"/>
      <c r="DQ3" s="646"/>
      <c r="DR3" s="646"/>
      <c r="DS3" s="646"/>
      <c r="DT3" s="646"/>
      <c r="DU3" s="646"/>
      <c r="DV3" s="646"/>
      <c r="DW3" s="646"/>
      <c r="DX3" s="646"/>
      <c r="DY3" s="646"/>
      <c r="DZ3" s="639" t="s">
        <v>826</v>
      </c>
      <c r="EA3" s="639"/>
      <c r="EB3" s="639"/>
      <c r="EC3" s="639"/>
      <c r="ED3" s="639"/>
      <c r="EE3" s="639"/>
      <c r="EF3" s="639"/>
      <c r="EG3" s="639"/>
      <c r="EH3" s="639"/>
      <c r="EI3" s="639"/>
      <c r="EJ3" s="639"/>
      <c r="EK3" s="646" t="s">
        <v>833</v>
      </c>
      <c r="EL3" s="646"/>
      <c r="EM3" s="646"/>
      <c r="EN3" s="646"/>
      <c r="EO3" s="646"/>
      <c r="EP3" s="646"/>
      <c r="EQ3" s="646"/>
      <c r="ER3" s="646"/>
      <c r="ES3" s="646"/>
      <c r="ET3" s="646"/>
      <c r="EU3" s="646"/>
      <c r="EV3" s="645" t="s">
        <v>1026</v>
      </c>
      <c r="EW3" s="645" t="s">
        <v>1022</v>
      </c>
      <c r="EX3" s="645" t="s">
        <v>1023</v>
      </c>
      <c r="EY3" s="645" t="s">
        <v>1027</v>
      </c>
      <c r="EZ3" s="645" t="s">
        <v>1024</v>
      </c>
      <c r="FA3" s="645" t="s">
        <v>1025</v>
      </c>
      <c r="FB3" s="645" t="s">
        <v>33</v>
      </c>
    </row>
    <row r="4" spans="1:165" ht="32" customHeight="1" x14ac:dyDescent="0.3">
      <c r="A4" s="397"/>
      <c r="B4" s="398"/>
      <c r="C4" s="399"/>
      <c r="D4" s="399"/>
      <c r="E4" s="399"/>
      <c r="F4" s="399"/>
      <c r="G4" s="399"/>
      <c r="H4" s="399"/>
      <c r="I4" s="399"/>
      <c r="J4" s="399" t="s">
        <v>105</v>
      </c>
      <c r="K4" s="399" t="s">
        <v>106</v>
      </c>
      <c r="L4" s="399" t="s">
        <v>107</v>
      </c>
      <c r="M4" s="399" t="s">
        <v>108</v>
      </c>
      <c r="N4" s="399" t="s">
        <v>109</v>
      </c>
      <c r="O4" s="399" t="s">
        <v>120</v>
      </c>
      <c r="P4" s="399" t="s">
        <v>111</v>
      </c>
      <c r="Q4" s="399" t="s">
        <v>112</v>
      </c>
      <c r="R4" s="399" t="s">
        <v>113</v>
      </c>
      <c r="S4" s="399" t="s">
        <v>110</v>
      </c>
      <c r="T4" s="399" t="s">
        <v>935</v>
      </c>
      <c r="U4" s="399" t="s">
        <v>936</v>
      </c>
      <c r="V4" s="399" t="s">
        <v>937</v>
      </c>
      <c r="W4" s="399" t="s">
        <v>938</v>
      </c>
      <c r="X4" s="399" t="s">
        <v>939</v>
      </c>
      <c r="Y4" s="399" t="s">
        <v>120</v>
      </c>
      <c r="Z4" s="399" t="s">
        <v>111</v>
      </c>
      <c r="AA4" s="399" t="s">
        <v>112</v>
      </c>
      <c r="AB4" s="399" t="s">
        <v>113</v>
      </c>
      <c r="AC4" s="399" t="s">
        <v>110</v>
      </c>
      <c r="AD4" s="399" t="s">
        <v>256</v>
      </c>
      <c r="AE4" s="399" t="s">
        <v>257</v>
      </c>
      <c r="AF4" s="399"/>
      <c r="AG4" s="399" t="s">
        <v>38</v>
      </c>
      <c r="AH4" s="399" t="s">
        <v>260</v>
      </c>
      <c r="AI4" s="399" t="s">
        <v>261</v>
      </c>
      <c r="AJ4" s="399" t="s">
        <v>260</v>
      </c>
      <c r="AK4" s="399" t="s">
        <v>715</v>
      </c>
      <c r="AL4" s="399" t="s">
        <v>716</v>
      </c>
      <c r="AM4" s="399" t="s">
        <v>262</v>
      </c>
      <c r="AN4" s="399" t="s">
        <v>260</v>
      </c>
      <c r="AO4" s="400"/>
      <c r="AP4" s="400"/>
      <c r="AQ4" s="401"/>
      <c r="AR4" s="402"/>
      <c r="AS4" s="651"/>
      <c r="AT4" s="651"/>
      <c r="AU4" s="399" t="s">
        <v>164</v>
      </c>
      <c r="AV4" s="399" t="s">
        <v>36</v>
      </c>
      <c r="AW4" s="399" t="s">
        <v>5</v>
      </c>
      <c r="AX4" s="399" t="s">
        <v>3</v>
      </c>
      <c r="AY4" s="399" t="s">
        <v>165</v>
      </c>
      <c r="AZ4" s="399" t="s">
        <v>166</v>
      </c>
      <c r="BA4" s="399" t="s">
        <v>1578</v>
      </c>
      <c r="BB4" s="399"/>
      <c r="BC4" s="399"/>
      <c r="BD4" s="399"/>
      <c r="BE4" s="651"/>
      <c r="BF4" s="651"/>
      <c r="BG4" s="403" t="s">
        <v>37</v>
      </c>
      <c r="BH4" s="650"/>
      <c r="BI4" s="650"/>
      <c r="BJ4" s="650"/>
      <c r="BK4" s="650"/>
      <c r="BL4" s="650"/>
      <c r="BM4" s="650"/>
      <c r="BN4" s="650"/>
      <c r="BO4" s="650"/>
      <c r="BP4" s="650"/>
      <c r="BQ4" s="650"/>
      <c r="BR4" s="650"/>
      <c r="BS4" s="650"/>
      <c r="BT4" s="652"/>
      <c r="BU4" s="627"/>
      <c r="BY4" s="373"/>
      <c r="BZ4" s="376" t="str">
        <f>'AR-Hierarchy '!K4</f>
        <v>Basic Design</v>
      </c>
      <c r="CA4" s="376" t="str">
        <f>'AR-Hierarchy '!K5</f>
        <v>Standard Design</v>
      </c>
      <c r="CB4" s="376" t="str">
        <f>'AR-Hierarchy '!K6</f>
        <v xml:space="preserve">Superior Design </v>
      </c>
      <c r="CC4" s="376" t="str">
        <f>'AR-Hierarchy '!K7</f>
        <v>None</v>
      </c>
      <c r="CD4" s="376" t="str">
        <f>BZ4</f>
        <v>Basic Design</v>
      </c>
      <c r="CE4" s="376" t="str">
        <f>CA4</f>
        <v>Standard Design</v>
      </c>
      <c r="CF4" s="376" t="str">
        <f>CB4</f>
        <v xml:space="preserve">Superior Design </v>
      </c>
      <c r="CG4" s="373" t="s">
        <v>117</v>
      </c>
      <c r="CH4" s="374" t="str">
        <f>BY5</f>
        <v>Substructure</v>
      </c>
      <c r="CI4" s="371" t="str">
        <f>BY6</f>
        <v>Structure</v>
      </c>
      <c r="CJ4" s="371" t="str">
        <f>BY7</f>
        <v>Roofing</v>
      </c>
      <c r="CK4" s="374" t="str">
        <f>BY8</f>
        <v>Exterior Wall Cladding</v>
      </c>
      <c r="CL4" s="371" t="str">
        <f>BY9</f>
        <v>Fitouts</v>
      </c>
      <c r="CM4" s="371" t="str">
        <f>BY10</f>
        <v>Floor Covering</v>
      </c>
      <c r="CN4" s="374" t="str">
        <f>BY11</f>
        <v>Service Mechanical</v>
      </c>
      <c r="CO4" s="374" t="str">
        <f>BY12</f>
        <v>Services Electrical</v>
      </c>
      <c r="CP4" s="374" t="str">
        <f>BY13</f>
        <v>Services Sanitation</v>
      </c>
      <c r="CQ4" s="374" t="str">
        <f>BY14</f>
        <v>Services Water</v>
      </c>
      <c r="CR4" s="374" t="s">
        <v>823</v>
      </c>
      <c r="CS4" s="376" t="str">
        <f>CH4</f>
        <v>Substructure</v>
      </c>
      <c r="CT4" s="376" t="str">
        <f t="shared" ref="CT4:DB4" si="0">CI4</f>
        <v>Structure</v>
      </c>
      <c r="CU4" s="376" t="str">
        <f t="shared" si="0"/>
        <v>Roofing</v>
      </c>
      <c r="CV4" s="376" t="str">
        <f t="shared" si="0"/>
        <v>Exterior Wall Cladding</v>
      </c>
      <c r="CW4" s="376" t="str">
        <f t="shared" si="0"/>
        <v>Fitouts</v>
      </c>
      <c r="CX4" s="376" t="str">
        <f t="shared" si="0"/>
        <v>Floor Covering</v>
      </c>
      <c r="CY4" s="376" t="str">
        <f t="shared" si="0"/>
        <v>Service Mechanical</v>
      </c>
      <c r="CZ4" s="376" t="str">
        <f t="shared" si="0"/>
        <v>Services Electrical</v>
      </c>
      <c r="DA4" s="376" t="str">
        <f t="shared" si="0"/>
        <v>Services Sanitation</v>
      </c>
      <c r="DB4" s="376" t="str">
        <f t="shared" si="0"/>
        <v>Services Water</v>
      </c>
      <c r="DC4" s="376" t="s">
        <v>824</v>
      </c>
      <c r="DD4" s="374" t="s">
        <v>1028</v>
      </c>
      <c r="DE4" s="374" t="str">
        <f>CS4</f>
        <v>Substructure</v>
      </c>
      <c r="DF4" s="374" t="str">
        <f t="shared" ref="DF4:DN4" si="1">CT4</f>
        <v>Structure</v>
      </c>
      <c r="DG4" s="374" t="str">
        <f t="shared" si="1"/>
        <v>Roofing</v>
      </c>
      <c r="DH4" s="374" t="str">
        <f t="shared" si="1"/>
        <v>Exterior Wall Cladding</v>
      </c>
      <c r="DI4" s="374" t="str">
        <f t="shared" si="1"/>
        <v>Fitouts</v>
      </c>
      <c r="DJ4" s="374" t="str">
        <f t="shared" si="1"/>
        <v>Floor Covering</v>
      </c>
      <c r="DK4" s="374" t="str">
        <f t="shared" si="1"/>
        <v>Service Mechanical</v>
      </c>
      <c r="DL4" s="374" t="str">
        <f t="shared" si="1"/>
        <v>Services Electrical</v>
      </c>
      <c r="DM4" s="374" t="str">
        <f t="shared" si="1"/>
        <v>Services Sanitation</v>
      </c>
      <c r="DN4" s="374" t="str">
        <f t="shared" si="1"/>
        <v>Services Water</v>
      </c>
      <c r="DO4" s="376" t="str">
        <f>DE4</f>
        <v>Substructure</v>
      </c>
      <c r="DP4" s="376" t="str">
        <f t="shared" ref="DP4:DX4" si="2">DF4</f>
        <v>Structure</v>
      </c>
      <c r="DQ4" s="376" t="str">
        <f t="shared" si="2"/>
        <v>Roofing</v>
      </c>
      <c r="DR4" s="376" t="str">
        <f t="shared" si="2"/>
        <v>Exterior Wall Cladding</v>
      </c>
      <c r="DS4" s="376" t="str">
        <f t="shared" si="2"/>
        <v>Fitouts</v>
      </c>
      <c r="DT4" s="376" t="str">
        <f t="shared" si="2"/>
        <v>Floor Covering</v>
      </c>
      <c r="DU4" s="376" t="str">
        <f t="shared" si="2"/>
        <v>Service Mechanical</v>
      </c>
      <c r="DV4" s="376" t="str">
        <f t="shared" si="2"/>
        <v>Services Electrical</v>
      </c>
      <c r="DW4" s="376" t="str">
        <f t="shared" si="2"/>
        <v>Services Sanitation</v>
      </c>
      <c r="DX4" s="376" t="str">
        <f t="shared" si="2"/>
        <v>Services Water</v>
      </c>
      <c r="DY4" s="376" t="s">
        <v>1021</v>
      </c>
      <c r="DZ4" s="374" t="str">
        <f>DO4</f>
        <v>Substructure</v>
      </c>
      <c r="EA4" s="374" t="str">
        <f t="shared" ref="EA4:EI4" si="3">DP4</f>
        <v>Structure</v>
      </c>
      <c r="EB4" s="374" t="str">
        <f t="shared" si="3"/>
        <v>Roofing</v>
      </c>
      <c r="EC4" s="374" t="str">
        <f t="shared" si="3"/>
        <v>Exterior Wall Cladding</v>
      </c>
      <c r="ED4" s="374" t="str">
        <f t="shared" si="3"/>
        <v>Fitouts</v>
      </c>
      <c r="EE4" s="374" t="str">
        <f t="shared" si="3"/>
        <v>Floor Covering</v>
      </c>
      <c r="EF4" s="374" t="str">
        <f t="shared" si="3"/>
        <v>Service Mechanical</v>
      </c>
      <c r="EG4" s="374" t="str">
        <f t="shared" si="3"/>
        <v>Services Electrical</v>
      </c>
      <c r="EH4" s="374" t="str">
        <f t="shared" si="3"/>
        <v>Services Sanitation</v>
      </c>
      <c r="EI4" s="374" t="str">
        <f t="shared" si="3"/>
        <v>Services Water</v>
      </c>
      <c r="EJ4" s="374" t="s">
        <v>1021</v>
      </c>
      <c r="EK4" s="376" t="str">
        <f>DZ4</f>
        <v>Substructure</v>
      </c>
      <c r="EL4" s="376" t="str">
        <f t="shared" ref="EL4:ET4" si="4">EA4</f>
        <v>Structure</v>
      </c>
      <c r="EM4" s="376" t="str">
        <f t="shared" si="4"/>
        <v>Roofing</v>
      </c>
      <c r="EN4" s="376" t="str">
        <f t="shared" si="4"/>
        <v>Exterior Wall Cladding</v>
      </c>
      <c r="EO4" s="376" t="str">
        <f t="shared" si="4"/>
        <v>Fitouts</v>
      </c>
      <c r="EP4" s="376" t="str">
        <f t="shared" si="4"/>
        <v>Floor Covering</v>
      </c>
      <c r="EQ4" s="376" t="str">
        <f t="shared" si="4"/>
        <v>Service Mechanical</v>
      </c>
      <c r="ER4" s="376" t="str">
        <f t="shared" si="4"/>
        <v>Services Electrical</v>
      </c>
      <c r="ES4" s="376" t="str">
        <f t="shared" si="4"/>
        <v>Services Sanitation</v>
      </c>
      <c r="ET4" s="376" t="str">
        <f t="shared" si="4"/>
        <v>Services Water</v>
      </c>
      <c r="EU4" s="376" t="s">
        <v>52</v>
      </c>
      <c r="EV4" s="645"/>
      <c r="EW4" s="645"/>
      <c r="EX4" s="645"/>
      <c r="EY4" s="645"/>
      <c r="EZ4" s="645"/>
      <c r="FA4" s="645"/>
      <c r="FB4" s="645"/>
    </row>
    <row r="5" spans="1:165" ht="35" customHeight="1" x14ac:dyDescent="0.3">
      <c r="A5" s="330" t="s">
        <v>1780</v>
      </c>
      <c r="B5" s="318" t="s">
        <v>940</v>
      </c>
      <c r="C5" s="318" t="s">
        <v>64</v>
      </c>
      <c r="D5" s="318" t="s">
        <v>85</v>
      </c>
      <c r="E5" s="318" t="s">
        <v>8</v>
      </c>
      <c r="F5" s="318" t="s">
        <v>271</v>
      </c>
      <c r="G5" s="318" t="s">
        <v>724</v>
      </c>
      <c r="H5" s="318" t="s">
        <v>968</v>
      </c>
      <c r="I5" s="318" t="s">
        <v>969</v>
      </c>
      <c r="J5" s="318" t="s">
        <v>1045</v>
      </c>
      <c r="K5" s="318" t="s">
        <v>1047</v>
      </c>
      <c r="L5" s="318" t="s">
        <v>1055</v>
      </c>
      <c r="M5" s="318" t="s">
        <v>1060</v>
      </c>
      <c r="N5" s="318" t="s">
        <v>1069</v>
      </c>
      <c r="O5" s="318" t="s">
        <v>1371</v>
      </c>
      <c r="P5" s="318" t="s">
        <v>1078</v>
      </c>
      <c r="Q5" s="318" t="s">
        <v>1082</v>
      </c>
      <c r="R5" s="318" t="s">
        <v>1086</v>
      </c>
      <c r="S5" s="318" t="s">
        <v>1089</v>
      </c>
      <c r="T5" s="318" t="s">
        <v>104</v>
      </c>
      <c r="U5" s="318" t="s">
        <v>104</v>
      </c>
      <c r="V5" s="318" t="s">
        <v>104</v>
      </c>
      <c r="W5" s="318" t="s">
        <v>104</v>
      </c>
      <c r="X5" s="318" t="s">
        <v>1018</v>
      </c>
      <c r="Y5" s="318" t="s">
        <v>1018</v>
      </c>
      <c r="Z5" s="318" t="s">
        <v>1018</v>
      </c>
      <c r="AA5" s="318" t="s">
        <v>104</v>
      </c>
      <c r="AB5" s="318" t="s">
        <v>104</v>
      </c>
      <c r="AC5" s="318" t="s">
        <v>104</v>
      </c>
      <c r="AD5" s="318" t="s">
        <v>1771</v>
      </c>
      <c r="AE5" s="318">
        <v>390</v>
      </c>
      <c r="AF5" s="318">
        <v>60</v>
      </c>
      <c r="AG5" s="318">
        <v>1970</v>
      </c>
      <c r="AH5" s="318" t="s">
        <v>800</v>
      </c>
      <c r="AI5" s="318">
        <f>AG5</f>
        <v>1970</v>
      </c>
      <c r="AJ5" s="318" t="str">
        <f>AH5</f>
        <v>Estimated</v>
      </c>
      <c r="AK5" s="318">
        <v>2012</v>
      </c>
      <c r="AL5" s="318" t="s">
        <v>970</v>
      </c>
      <c r="AM5" s="317">
        <f>DC5+EW5</f>
        <v>447698.66724881623</v>
      </c>
      <c r="AN5" s="318" t="s">
        <v>800</v>
      </c>
      <c r="AO5" s="511">
        <f>EJ5+FA5</f>
        <v>286315.95803958172</v>
      </c>
      <c r="AP5" s="511">
        <f>AM5-AO5</f>
        <v>161382.70920923451</v>
      </c>
      <c r="AQ5" s="511">
        <f>EU5+FB5</f>
        <v>16422.2101228106</v>
      </c>
      <c r="AR5" s="511">
        <f>AP5-AQ5</f>
        <v>144960.49908642392</v>
      </c>
      <c r="AS5" s="511">
        <f>HLOOKUP($C$1,'Inflation Adjustments'!$BI$3:$BT$4,2)*CR5</f>
        <v>1513670.6812499999</v>
      </c>
      <c r="AT5" s="511">
        <f>IF(BU5="In Service",'Maintenace Cost Assumptions'!$B$3*AS5,0)</f>
        <v>7568.3534062499994</v>
      </c>
      <c r="AU5" s="318">
        <v>3</v>
      </c>
      <c r="AV5" s="318">
        <v>3</v>
      </c>
      <c r="AW5" s="318">
        <v>3</v>
      </c>
      <c r="AX5" s="318">
        <v>3</v>
      </c>
      <c r="AY5" s="318">
        <v>3</v>
      </c>
      <c r="AZ5" s="318">
        <v>3</v>
      </c>
      <c r="BA5" s="318">
        <v>3</v>
      </c>
      <c r="BB5" s="318"/>
      <c r="BC5" s="318"/>
      <c r="BD5" s="318"/>
      <c r="BE5" s="318">
        <v>4</v>
      </c>
      <c r="BF5" s="318"/>
      <c r="BG5" s="332">
        <f>(AU5*'Condition rating weights'!H$8+AV5*'Condition rating weights'!I$8+AW5*'Condition rating weights'!J$8+AX5*'Condition rating weights'!K$8+AY5*'Condition rating weights'!L$8+AZ5*'Condition rating weights'!M$8+BA5*'Condition rating weights'!N$8+BB5*'Condition rating weights'!O$8+BC5*'Condition rating weights'!P$8+BD5*'Condition rating weights'!Q$8+BE5*'Condition rating weights'!R$8+BF5*'Condition rating weights'!S$8)/100</f>
        <v>0.66</v>
      </c>
      <c r="BH5" s="333">
        <v>1</v>
      </c>
      <c r="BI5" s="333">
        <v>111</v>
      </c>
      <c r="BJ5" s="333" t="s">
        <v>12</v>
      </c>
      <c r="BK5" s="333" t="s">
        <v>959</v>
      </c>
      <c r="BL5" s="333" t="s">
        <v>960</v>
      </c>
      <c r="BM5" s="333" t="s">
        <v>961</v>
      </c>
      <c r="BN5" s="333" t="s">
        <v>117</v>
      </c>
      <c r="BO5" s="333" t="s">
        <v>962</v>
      </c>
      <c r="BP5" s="333" t="s">
        <v>962</v>
      </c>
      <c r="BQ5" s="333" t="s">
        <v>963</v>
      </c>
      <c r="BR5" s="333" t="s">
        <v>964</v>
      </c>
      <c r="BS5" s="333" t="s">
        <v>964</v>
      </c>
      <c r="BT5" s="334" t="s">
        <v>965</v>
      </c>
      <c r="BU5" s="335" t="s">
        <v>1430</v>
      </c>
      <c r="BV5" s="346"/>
      <c r="BY5" s="376" t="str">
        <f>'GRC and TUL Assumptions'!A5</f>
        <v>Substructure</v>
      </c>
      <c r="BZ5" s="373">
        <f>'GRC and TUL Assumptions'!C5</f>
        <v>150</v>
      </c>
      <c r="CA5" s="373">
        <f>'GRC and TUL Assumptions'!D5</f>
        <v>200</v>
      </c>
      <c r="CB5" s="373">
        <f>'GRC and TUL Assumptions'!E5</f>
        <v>300</v>
      </c>
      <c r="CC5" s="373">
        <v>0</v>
      </c>
      <c r="CD5" s="373">
        <f>'GRC and TUL Assumptions'!F5</f>
        <v>40</v>
      </c>
      <c r="CE5" s="373">
        <f>'GRC and TUL Assumptions'!G5</f>
        <v>60</v>
      </c>
      <c r="CF5" s="373">
        <f>'GRC and TUL Assumptions'!H5</f>
        <v>60</v>
      </c>
      <c r="CG5" s="373">
        <f>CD5</f>
        <v>40</v>
      </c>
      <c r="CH5" s="378">
        <f>(HLOOKUP(T5,$BZ$4:$CC$14,2,TRUE))*$AE5</f>
        <v>78000</v>
      </c>
      <c r="CI5" s="378">
        <f>(HLOOKUP(U5,$BZ$4:$CC$14,3,TRUE))*$AE5</f>
        <v>312000</v>
      </c>
      <c r="CJ5" s="378">
        <f>(HLOOKUP(V5,$BZ$4:$CC$14,4,TRUE))*$AE5/BH5</f>
        <v>58500</v>
      </c>
      <c r="CK5" s="378">
        <f>(HLOOKUP(W5,$BZ$4:$CC$14,5,TRUE))*$AE5</f>
        <v>89700</v>
      </c>
      <c r="CL5" s="378">
        <f>(HLOOKUP(X5,$BZ$4:$CC$14,6,TRUE))*$AE5</f>
        <v>195000</v>
      </c>
      <c r="CM5" s="378">
        <f>(HLOOKUP(Y5,$BZ$4:$CC$14,7,TRUE))*$AE5</f>
        <v>117000</v>
      </c>
      <c r="CN5" s="378">
        <f>(HLOOKUP(Z5,$BZ$4:$CC$14,8,FALSE))*$AE5</f>
        <v>58500</v>
      </c>
      <c r="CO5" s="378">
        <f>(HLOOKUP(AA5,$BZ$4:$CC$14,9,FALSE))*$AE5</f>
        <v>39000</v>
      </c>
      <c r="CP5" s="378">
        <f>(HLOOKUP(AB5,$BZ$4:$CC$14,10,FALSE))*$AE5</f>
        <v>50700</v>
      </c>
      <c r="CQ5" s="378">
        <f>(HLOOKUP(AC5,$BZ$4:$CC$14,11,FALSE))*$AE5</f>
        <v>15600</v>
      </c>
      <c r="CR5" s="354">
        <f>SUM(CH5:CQ5)</f>
        <v>1014000</v>
      </c>
      <c r="CS5" s="379">
        <f>(HLOOKUP($AI5,'Inflation Adjustments'!$B$3:$BT$4,2,TRUE))*CH5</f>
        <v>11357.568075486113</v>
      </c>
      <c r="CT5" s="379">
        <f>(HLOOKUP($AI5,'Inflation Adjustments'!$B$3:$BT$4,2,TRUE))*CI5</f>
        <v>45430.272301944453</v>
      </c>
      <c r="CU5" s="379">
        <f>(HLOOKUP($AI5,'Inflation Adjustments'!$B$3:$BT$4,2,TRUE))*CJ5</f>
        <v>8518.1760566145858</v>
      </c>
      <c r="CV5" s="379">
        <f>(HLOOKUP($AI5,'Inflation Adjustments'!$B$3:$BT$4,2,TRUE))*CK5</f>
        <v>13061.20328680903</v>
      </c>
      <c r="CW5" s="379">
        <f>(HLOOKUP($AI5,'Inflation Adjustments'!$B$3:$BT$4,2,TRUE))*CL5</f>
        <v>28393.920188715285</v>
      </c>
      <c r="CX5" s="379">
        <f>(HLOOKUP($AI5,'Inflation Adjustments'!$B$3:$BT$4,2,TRUE))*CM5</f>
        <v>17036.352113229172</v>
      </c>
      <c r="CY5" s="379">
        <f>(HLOOKUP($AI5,'Inflation Adjustments'!$B$3:$BT$4,2,TRUE))*CN5</f>
        <v>8518.1760566145858</v>
      </c>
      <c r="CZ5" s="379">
        <f>(HLOOKUP($AI5,'Inflation Adjustments'!$B$3:$BT$4,2,TRUE))*CO5</f>
        <v>5678.7840377430566</v>
      </c>
      <c r="DA5" s="379">
        <f>(HLOOKUP($AI5,'Inflation Adjustments'!$B$3:$BT$4,2,TRUE))*CP5</f>
        <v>7382.4192490659743</v>
      </c>
      <c r="DB5" s="379">
        <f>(HLOOKUP($AI5,'Inflation Adjustments'!$B$3:$BT$4,2,TRUE))*CQ5</f>
        <v>2271.5136150972226</v>
      </c>
      <c r="DC5" s="379">
        <f>SUM(CS5:DB5)</f>
        <v>147648.38498131945</v>
      </c>
      <c r="DD5" s="354">
        <f>IF(($C$1-AI5-1)&lt;0,0,$C$1-AI5-1)</f>
        <v>52</v>
      </c>
      <c r="DE5" s="378">
        <f>(HLOOKUP(T5,$CD$4:$CG$14,2,FALSE))</f>
        <v>60</v>
      </c>
      <c r="DF5" s="378">
        <f>(HLOOKUP(U5,$CD$4:$CG$14,3,FALSE))</f>
        <v>60</v>
      </c>
      <c r="DG5" s="378">
        <f>(HLOOKUP(V5,$CD$4:$CG$14,4,FALSE))</f>
        <v>20</v>
      </c>
      <c r="DH5" s="378">
        <f>(HLOOKUP(W5,$CD$4:$CG$14,5,FALSE))</f>
        <v>30</v>
      </c>
      <c r="DI5" s="378">
        <f>(HLOOKUP(X5,$CD$4:$CG$14,6,FALSE))</f>
        <v>60</v>
      </c>
      <c r="DJ5" s="378">
        <f>(HLOOKUP(Y5,$CD$4:$CG$14,7,FALSE))</f>
        <v>40</v>
      </c>
      <c r="DK5" s="378">
        <f>(HLOOKUP(Z5,$CD$4:$CG$14,8,FALSE))</f>
        <v>30</v>
      </c>
      <c r="DL5" s="378">
        <f>(HLOOKUP(AA5,$CD$4:$CG$14,8,FALSE))</f>
        <v>20</v>
      </c>
      <c r="DM5" s="378">
        <f>(HLOOKUP(AB5,$CD$4:$CG$14,9))</f>
        <v>30</v>
      </c>
      <c r="DN5" s="378">
        <f>(HLOOKUP(AC5,$CD$4:$CG$14,10))</f>
        <v>30</v>
      </c>
      <c r="DO5" s="380">
        <f t="shared" ref="DO5:DX6" si="5">CS5/DE5</f>
        <v>189.29280125810189</v>
      </c>
      <c r="DP5" s="380">
        <f t="shared" si="5"/>
        <v>757.17120503240756</v>
      </c>
      <c r="DQ5" s="380">
        <f t="shared" si="5"/>
        <v>425.90880283072931</v>
      </c>
      <c r="DR5" s="380">
        <f t="shared" si="5"/>
        <v>435.37344289363432</v>
      </c>
      <c r="DS5" s="380">
        <f t="shared" si="5"/>
        <v>473.23200314525474</v>
      </c>
      <c r="DT5" s="380">
        <f t="shared" si="5"/>
        <v>425.90880283072931</v>
      </c>
      <c r="DU5" s="380">
        <f t="shared" si="5"/>
        <v>283.93920188715288</v>
      </c>
      <c r="DV5" s="380">
        <f t="shared" si="5"/>
        <v>283.93920188715282</v>
      </c>
      <c r="DW5" s="380">
        <f t="shared" si="5"/>
        <v>246.08064163553249</v>
      </c>
      <c r="DX5" s="380">
        <f t="shared" si="5"/>
        <v>75.71712050324075</v>
      </c>
      <c r="DY5" s="380">
        <f>SUM(DO5:DX5)</f>
        <v>3596.5632239039364</v>
      </c>
      <c r="DZ5" s="378">
        <f t="shared" ref="DZ5:EI6" si="6">IF(DO5*$DD5&gt;CS5,CS5,DO5*$DD5)</f>
        <v>9843.2256654212979</v>
      </c>
      <c r="EA5" s="378">
        <f t="shared" si="6"/>
        <v>39372.902661685192</v>
      </c>
      <c r="EB5" s="378">
        <f t="shared" si="6"/>
        <v>8518.1760566145858</v>
      </c>
      <c r="EC5" s="378">
        <f t="shared" si="6"/>
        <v>13061.20328680903</v>
      </c>
      <c r="ED5" s="378">
        <f t="shared" si="6"/>
        <v>24608.064163553245</v>
      </c>
      <c r="EE5" s="378">
        <f t="shared" si="6"/>
        <v>17036.352113229172</v>
      </c>
      <c r="EF5" s="378">
        <f t="shared" si="6"/>
        <v>8518.1760566145858</v>
      </c>
      <c r="EG5" s="378">
        <f t="shared" si="6"/>
        <v>5678.7840377430566</v>
      </c>
      <c r="EH5" s="378">
        <f t="shared" si="6"/>
        <v>7382.4192490659743</v>
      </c>
      <c r="EI5" s="378">
        <f t="shared" si="6"/>
        <v>2271.5136150972226</v>
      </c>
      <c r="EJ5" s="354">
        <f>SUM(DZ5:EI5)</f>
        <v>136290.81690583334</v>
      </c>
      <c r="EK5" s="380">
        <f t="shared" ref="EK5:ET6" si="7">IF(DO5&lt;(CS5-DZ5),DO5,(CS5-DZ5))</f>
        <v>189.29280125810189</v>
      </c>
      <c r="EL5" s="380">
        <f t="shared" si="7"/>
        <v>757.17120503240756</v>
      </c>
      <c r="EM5" s="380">
        <f t="shared" si="7"/>
        <v>0</v>
      </c>
      <c r="EN5" s="380">
        <f t="shared" si="7"/>
        <v>0</v>
      </c>
      <c r="EO5" s="380">
        <f t="shared" si="7"/>
        <v>473.23200314525474</v>
      </c>
      <c r="EP5" s="380">
        <f t="shared" si="7"/>
        <v>0</v>
      </c>
      <c r="EQ5" s="380">
        <f t="shared" si="7"/>
        <v>0</v>
      </c>
      <c r="ER5" s="380">
        <f t="shared" si="7"/>
        <v>0</v>
      </c>
      <c r="ES5" s="380">
        <f t="shared" si="7"/>
        <v>0</v>
      </c>
      <c r="ET5" s="380">
        <f t="shared" si="7"/>
        <v>0</v>
      </c>
      <c r="EU5" s="379">
        <f>SUM(EK5:ET5)</f>
        <v>1419.6960094357642</v>
      </c>
      <c r="EV5" s="381">
        <f>AK5</f>
        <v>2012</v>
      </c>
      <c r="EW5" s="354">
        <f>(HLOOKUP($EV5,'Inflation Adjustments'!$M$3:$BT$4,2,TRUE))*(CJ5+CM5+CL5)</f>
        <v>300050.28226749675</v>
      </c>
      <c r="EX5" s="378">
        <v>20</v>
      </c>
      <c r="EY5" s="381">
        <f>$C$1-1-EV5</f>
        <v>10</v>
      </c>
      <c r="EZ5" s="378">
        <f>EW5/EX5</f>
        <v>15002.514113374837</v>
      </c>
      <c r="FA5" s="378">
        <f>IF(EY5*EZ5&lt;EW5,EY5*EZ5,EW5)</f>
        <v>150025.14113374837</v>
      </c>
      <c r="FB5" s="378">
        <f>IF(EZ5&lt;(EW5-FA5),EZ5,(E58-FA5))</f>
        <v>15002.514113374837</v>
      </c>
      <c r="FE5" s="583" t="s">
        <v>1664</v>
      </c>
      <c r="FF5" s="583"/>
      <c r="FG5" s="583"/>
      <c r="FH5" s="583"/>
      <c r="FI5" s="583"/>
    </row>
    <row r="6" spans="1:165" ht="35" customHeight="1" x14ac:dyDescent="0.3">
      <c r="A6" s="330" t="s">
        <v>1781</v>
      </c>
      <c r="B6" s="318" t="s">
        <v>1012</v>
      </c>
      <c r="C6" s="318" t="s">
        <v>64</v>
      </c>
      <c r="D6" s="318" t="s">
        <v>85</v>
      </c>
      <c r="E6" s="318" t="s">
        <v>8</v>
      </c>
      <c r="F6" s="318" t="s">
        <v>278</v>
      </c>
      <c r="G6" s="318" t="s">
        <v>724</v>
      </c>
      <c r="H6" s="318" t="s">
        <v>1013</v>
      </c>
      <c r="I6" s="318" t="s">
        <v>1014</v>
      </c>
      <c r="J6" s="318" t="s">
        <v>1043</v>
      </c>
      <c r="K6" s="318" t="s">
        <v>1049</v>
      </c>
      <c r="L6" s="318" t="s">
        <v>1056</v>
      </c>
      <c r="M6" s="318" t="s">
        <v>1065</v>
      </c>
      <c r="N6" s="318" t="s">
        <v>1069</v>
      </c>
      <c r="O6" s="318" t="s">
        <v>1074</v>
      </c>
      <c r="P6" s="318" t="s">
        <v>1078</v>
      </c>
      <c r="Q6" s="318" t="s">
        <v>1082</v>
      </c>
      <c r="R6" s="318" t="s">
        <v>1086</v>
      </c>
      <c r="S6" s="318" t="s">
        <v>1089</v>
      </c>
      <c r="T6" s="318" t="s">
        <v>104</v>
      </c>
      <c r="U6" s="318" t="s">
        <v>104</v>
      </c>
      <c r="V6" s="318" t="s">
        <v>104</v>
      </c>
      <c r="W6" s="318" t="s">
        <v>104</v>
      </c>
      <c r="X6" s="318" t="s">
        <v>104</v>
      </c>
      <c r="Y6" s="318" t="s">
        <v>104</v>
      </c>
      <c r="Z6" s="318" t="s">
        <v>104</v>
      </c>
      <c r="AA6" s="318" t="s">
        <v>104</v>
      </c>
      <c r="AB6" s="318" t="s">
        <v>104</v>
      </c>
      <c r="AC6" s="318" t="s">
        <v>104</v>
      </c>
      <c r="AD6" s="318" t="s">
        <v>1771</v>
      </c>
      <c r="AE6" s="318">
        <v>165</v>
      </c>
      <c r="AF6" s="318">
        <v>60</v>
      </c>
      <c r="AG6" s="318">
        <v>2016</v>
      </c>
      <c r="AH6" s="318" t="s">
        <v>982</v>
      </c>
      <c r="AI6" s="318">
        <f>AG6</f>
        <v>2016</v>
      </c>
      <c r="AJ6" s="318" t="str">
        <f>AH6</f>
        <v>Actual</v>
      </c>
      <c r="AK6" s="318"/>
      <c r="AL6" s="318"/>
      <c r="AM6" s="317">
        <f>DC6+EW6</f>
        <v>342152.83853329282</v>
      </c>
      <c r="AN6" s="318" t="s">
        <v>800</v>
      </c>
      <c r="AO6" s="511">
        <f>EJ6+FA6</f>
        <v>53223.774882956663</v>
      </c>
      <c r="AP6" s="511">
        <f>AM6-AO6</f>
        <v>288929.06365033617</v>
      </c>
      <c r="AQ6" s="511">
        <f>EU6+FB6</f>
        <v>8870.629147159445</v>
      </c>
      <c r="AR6" s="511">
        <f>AP6-AQ6</f>
        <v>280058.43450317672</v>
      </c>
      <c r="AS6" s="511">
        <f>HLOOKUP($C$1,'Inflation Adjustments'!$BI$3:$BT$4,2)*CR6</f>
        <v>554191.55859375</v>
      </c>
      <c r="AT6" s="511">
        <f>IF(BU6="In Service",'Maintenace Cost Assumptions'!$B$3*AS6,0)</f>
        <v>2770.9577929687503</v>
      </c>
      <c r="AU6" s="318">
        <v>4</v>
      </c>
      <c r="AV6" s="318">
        <v>3</v>
      </c>
      <c r="AW6" s="318">
        <v>3</v>
      </c>
      <c r="AX6" s="318">
        <v>3</v>
      </c>
      <c r="AY6" s="318">
        <v>3</v>
      </c>
      <c r="AZ6" s="318">
        <v>3</v>
      </c>
      <c r="BA6" s="318">
        <v>3</v>
      </c>
      <c r="BB6" s="318"/>
      <c r="BC6" s="318"/>
      <c r="BD6" s="318"/>
      <c r="BE6" s="318">
        <v>4</v>
      </c>
      <c r="BF6" s="318"/>
      <c r="BG6" s="332">
        <f>(AU6*'Condition rating weights'!H$8+AV6*'Condition rating weights'!I$8+AW6*'Condition rating weights'!J$8+AX6*'Condition rating weights'!K$8+AY6*'Condition rating weights'!L$8+AZ6*'Condition rating weights'!M$8+BA6*'Condition rating weights'!N$8+BB6*'Condition rating weights'!O$8+BC6*'Condition rating weights'!P$8+BD6*'Condition rating weights'!Q$8+BE6*'Condition rating weights'!R$8+BF6*'Condition rating weights'!S$8)/100</f>
        <v>0.69</v>
      </c>
      <c r="BH6" s="333">
        <v>1</v>
      </c>
      <c r="BI6" s="333">
        <v>411</v>
      </c>
      <c r="BJ6" s="333" t="s">
        <v>12</v>
      </c>
      <c r="BK6" s="333" t="s">
        <v>959</v>
      </c>
      <c r="BL6" s="333" t="s">
        <v>960</v>
      </c>
      <c r="BM6" s="333" t="s">
        <v>1015</v>
      </c>
      <c r="BN6" s="333" t="s">
        <v>117</v>
      </c>
      <c r="BO6" s="333" t="s">
        <v>1016</v>
      </c>
      <c r="BP6" s="333" t="s">
        <v>1017</v>
      </c>
      <c r="BQ6" s="333" t="s">
        <v>963</v>
      </c>
      <c r="BR6" s="333" t="s">
        <v>964</v>
      </c>
      <c r="BS6" s="333" t="s">
        <v>964</v>
      </c>
      <c r="BT6" s="334" t="s">
        <v>965</v>
      </c>
      <c r="BU6" s="335" t="s">
        <v>1430</v>
      </c>
      <c r="BV6" s="255"/>
      <c r="BY6" s="376" t="str">
        <f>'GRC and TUL Assumptions'!A6</f>
        <v>Structure</v>
      </c>
      <c r="BZ6" s="373">
        <f>'GRC and TUL Assumptions'!C6</f>
        <v>500</v>
      </c>
      <c r="CA6" s="373">
        <f>'GRC and TUL Assumptions'!D6</f>
        <v>800</v>
      </c>
      <c r="CB6" s="373">
        <f>'GRC and TUL Assumptions'!E6</f>
        <v>1500</v>
      </c>
      <c r="CC6" s="373">
        <v>0</v>
      </c>
      <c r="CD6" s="373">
        <f>'GRC and TUL Assumptions'!F6</f>
        <v>40</v>
      </c>
      <c r="CE6" s="373">
        <f>'GRC and TUL Assumptions'!G6</f>
        <v>60</v>
      </c>
      <c r="CF6" s="373">
        <f>'GRC and TUL Assumptions'!H6</f>
        <v>60</v>
      </c>
      <c r="CG6" s="373">
        <f t="shared" ref="CG6:CG14" si="8">CD6</f>
        <v>40</v>
      </c>
      <c r="CH6" s="378">
        <f>(HLOOKUP(T6,$BZ$4:$CC$14,2,TRUE))*$AE6</f>
        <v>33000</v>
      </c>
      <c r="CI6" s="378">
        <f>(HLOOKUP(U6,$BZ$4:$CC$14,3,TRUE))*$AE6</f>
        <v>132000</v>
      </c>
      <c r="CJ6" s="378">
        <f>(HLOOKUP(V6,$BZ$4:$CC$14,4,TRUE))*$AE6/BH6</f>
        <v>24750</v>
      </c>
      <c r="CK6" s="378">
        <f>(HLOOKUP(W6,$BZ$4:$CC$14,5,TRUE))*$AE6</f>
        <v>37950</v>
      </c>
      <c r="CL6" s="378">
        <f>(HLOOKUP(X6,$BZ$4:$CC$14,6,TRUE))*$AE6</f>
        <v>57750</v>
      </c>
      <c r="CM6" s="378">
        <f>(HLOOKUP(Y6,$BZ$4:$CC$14,7,TRUE))*$AE6</f>
        <v>24750</v>
      </c>
      <c r="CN6" s="378">
        <f>(HLOOKUP(Z6,$BZ$4:$CC$14,8,FALSE))*$AE6</f>
        <v>16500</v>
      </c>
      <c r="CO6" s="378">
        <f>(HLOOKUP(AA6,$BZ$4:$CC$14,9,FALSE))*$AE6</f>
        <v>16500</v>
      </c>
      <c r="CP6" s="378">
        <f>(HLOOKUP(AB6,$BZ$4:$CC$14,10,FALSE))*$AE6</f>
        <v>21450</v>
      </c>
      <c r="CQ6" s="378">
        <f>(HLOOKUP(AC6,$BZ$4:$CC$14,11,FALSE))*$AE6</f>
        <v>6600</v>
      </c>
      <c r="CR6" s="354">
        <f>SUM(CH6:CQ6)</f>
        <v>371250</v>
      </c>
      <c r="CS6" s="379">
        <f>(HLOOKUP($AI6,'Inflation Adjustments'!$B$3:$BT$4,2,TRUE))*CH6</f>
        <v>30413.585647403808</v>
      </c>
      <c r="CT6" s="379">
        <f>(HLOOKUP($AI6,'Inflation Adjustments'!$B$3:$BT$4,2,TRUE))*CI6</f>
        <v>121654.34258961523</v>
      </c>
      <c r="CU6" s="379">
        <f>(HLOOKUP($AI6,'Inflation Adjustments'!$B$3:$BT$4,2,TRUE))*CJ6</f>
        <v>22810.189235552854</v>
      </c>
      <c r="CV6" s="379">
        <f>(HLOOKUP($AI6,'Inflation Adjustments'!$B$3:$BT$4,2,TRUE))*CK6</f>
        <v>34975.623494514381</v>
      </c>
      <c r="CW6" s="379">
        <f>(HLOOKUP($AI6,'Inflation Adjustments'!$B$3:$BT$4,2,TRUE))*CL6</f>
        <v>53223.774882956663</v>
      </c>
      <c r="CX6" s="379">
        <f>(HLOOKUP($AI6,'Inflation Adjustments'!$B$3:$BT$4,2,TRUE))*CM6</f>
        <v>22810.189235552854</v>
      </c>
      <c r="CY6" s="379">
        <f>(HLOOKUP($AI6,'Inflation Adjustments'!$B$3:$BT$4,2,TRUE))*CN6</f>
        <v>15206.792823701904</v>
      </c>
      <c r="CZ6" s="379">
        <f>(HLOOKUP($AI6,'Inflation Adjustments'!$B$3:$BT$4,2,TRUE))*CO6</f>
        <v>15206.792823701904</v>
      </c>
      <c r="DA6" s="379">
        <f>(HLOOKUP($AI6,'Inflation Adjustments'!$B$3:$BT$4,2,TRUE))*CP6</f>
        <v>19768.830670812473</v>
      </c>
      <c r="DB6" s="379">
        <f>(HLOOKUP($AI6,'Inflation Adjustments'!$B$3:$BT$4,2,TRUE))*CQ6</f>
        <v>6082.7171294807613</v>
      </c>
      <c r="DC6" s="379">
        <f>SUM(CS6:DB6)</f>
        <v>342152.83853329282</v>
      </c>
      <c r="DD6" s="354">
        <f>IF(($C$1-AI6-1)&lt;0,0,$C$1-AI6-1)</f>
        <v>6</v>
      </c>
      <c r="DE6" s="378">
        <f>(HLOOKUP(T6,$CD$4:$CG$14,2,FALSE))</f>
        <v>60</v>
      </c>
      <c r="DF6" s="378">
        <f>(HLOOKUP(U6,$CD$4:$CG$14,3,FALSE))</f>
        <v>60</v>
      </c>
      <c r="DG6" s="378">
        <f>(HLOOKUP(V6,$CD$4:$CG$14,4,FALSE))</f>
        <v>20</v>
      </c>
      <c r="DH6" s="378">
        <f>(HLOOKUP(W6,$CD$4:$CG$14,5,FALSE))</f>
        <v>30</v>
      </c>
      <c r="DI6" s="378">
        <f>(HLOOKUP(X6,$CD$4:$CG$14,6,FALSE))</f>
        <v>60</v>
      </c>
      <c r="DJ6" s="378">
        <f>(HLOOKUP(Y6,$CD$4:$CG$14,7,FALSE))</f>
        <v>30</v>
      </c>
      <c r="DK6" s="378">
        <f>(HLOOKUP(Z6,$CD$4:$CG$14,8,FALSE))</f>
        <v>20</v>
      </c>
      <c r="DL6" s="378">
        <f>(HLOOKUP(AA6,$CD$4:$CG$14,8,FALSE))</f>
        <v>20</v>
      </c>
      <c r="DM6" s="378">
        <f>(HLOOKUP(AB6,$CD$4:$CG$14,9))</f>
        <v>30</v>
      </c>
      <c r="DN6" s="378">
        <f>(HLOOKUP(AC6,$CD$4:$CG$14,10))</f>
        <v>30</v>
      </c>
      <c r="DO6" s="380">
        <f t="shared" si="5"/>
        <v>506.89309412339679</v>
      </c>
      <c r="DP6" s="380">
        <f t="shared" si="5"/>
        <v>2027.5723764935872</v>
      </c>
      <c r="DQ6" s="380">
        <f t="shared" si="5"/>
        <v>1140.5094617776426</v>
      </c>
      <c r="DR6" s="380">
        <f t="shared" si="5"/>
        <v>1165.8541164838127</v>
      </c>
      <c r="DS6" s="380">
        <f t="shared" si="5"/>
        <v>887.06291471594443</v>
      </c>
      <c r="DT6" s="380">
        <f t="shared" si="5"/>
        <v>760.33964118509516</v>
      </c>
      <c r="DU6" s="380">
        <f t="shared" si="5"/>
        <v>760.33964118509516</v>
      </c>
      <c r="DV6" s="380">
        <f t="shared" si="5"/>
        <v>760.33964118509516</v>
      </c>
      <c r="DW6" s="380">
        <f t="shared" si="5"/>
        <v>658.96102236041577</v>
      </c>
      <c r="DX6" s="380">
        <f t="shared" si="5"/>
        <v>202.7572376493587</v>
      </c>
      <c r="DY6" s="380">
        <f>SUM(DO6:DX6)</f>
        <v>8870.629147159445</v>
      </c>
      <c r="DZ6" s="378">
        <f t="shared" si="6"/>
        <v>3041.3585647403806</v>
      </c>
      <c r="EA6" s="378">
        <f t="shared" si="6"/>
        <v>12165.434258961523</v>
      </c>
      <c r="EB6" s="378">
        <f t="shared" si="6"/>
        <v>6843.0567706658558</v>
      </c>
      <c r="EC6" s="378">
        <f t="shared" si="6"/>
        <v>6995.1246989028768</v>
      </c>
      <c r="ED6" s="378">
        <f t="shared" si="6"/>
        <v>5322.3774882956668</v>
      </c>
      <c r="EE6" s="378">
        <f t="shared" si="6"/>
        <v>4562.0378471105705</v>
      </c>
      <c r="EF6" s="378">
        <f t="shared" si="6"/>
        <v>4562.0378471105705</v>
      </c>
      <c r="EG6" s="378">
        <f t="shared" si="6"/>
        <v>4562.0378471105705</v>
      </c>
      <c r="EH6" s="378">
        <f t="shared" si="6"/>
        <v>3953.7661341624944</v>
      </c>
      <c r="EI6" s="378">
        <f t="shared" si="6"/>
        <v>1216.5434258961523</v>
      </c>
      <c r="EJ6" s="354">
        <f>SUM(DZ6:EI6)</f>
        <v>53223.774882956663</v>
      </c>
      <c r="EK6" s="380">
        <f t="shared" si="7"/>
        <v>506.89309412339679</v>
      </c>
      <c r="EL6" s="380">
        <f t="shared" si="7"/>
        <v>2027.5723764935872</v>
      </c>
      <c r="EM6" s="380">
        <f t="shared" si="7"/>
        <v>1140.5094617776426</v>
      </c>
      <c r="EN6" s="380">
        <f t="shared" si="7"/>
        <v>1165.8541164838127</v>
      </c>
      <c r="EO6" s="380">
        <f t="shared" si="7"/>
        <v>887.06291471594443</v>
      </c>
      <c r="EP6" s="380">
        <f t="shared" si="7"/>
        <v>760.33964118509516</v>
      </c>
      <c r="EQ6" s="380">
        <f t="shared" si="7"/>
        <v>760.33964118509516</v>
      </c>
      <c r="ER6" s="380">
        <f t="shared" si="7"/>
        <v>760.33964118509516</v>
      </c>
      <c r="ES6" s="380">
        <f t="shared" si="7"/>
        <v>658.96102236041577</v>
      </c>
      <c r="ET6" s="380">
        <f t="shared" si="7"/>
        <v>202.7572376493587</v>
      </c>
      <c r="EU6" s="379">
        <f>SUM(EK6:ET6)</f>
        <v>8870.629147159445</v>
      </c>
      <c r="EV6" s="381"/>
      <c r="EW6" s="382"/>
      <c r="EX6" s="382"/>
      <c r="EY6" s="382"/>
      <c r="EZ6" s="382"/>
      <c r="FA6" s="382"/>
      <c r="FB6" s="382"/>
      <c r="FE6" s="633" t="s">
        <v>1653</v>
      </c>
      <c r="FF6" s="633"/>
      <c r="FG6" s="633"/>
      <c r="FH6" s="633"/>
      <c r="FI6" s="633"/>
    </row>
    <row r="7" spans="1:165" ht="35" customHeight="1" x14ac:dyDescent="0.3">
      <c r="A7" s="427" t="s">
        <v>1782</v>
      </c>
      <c r="B7" s="428" t="s">
        <v>971</v>
      </c>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318"/>
      <c r="AI7" s="318"/>
      <c r="AJ7" s="318"/>
      <c r="AK7" s="318"/>
      <c r="AL7" s="318"/>
      <c r="AM7" s="317"/>
      <c r="AN7" s="318"/>
      <c r="AO7" s="511"/>
      <c r="AP7" s="511"/>
      <c r="AQ7" s="511"/>
      <c r="AR7" s="511"/>
      <c r="AS7" s="511"/>
      <c r="AT7" s="511"/>
      <c r="AU7" s="318"/>
      <c r="AV7" s="318"/>
      <c r="AW7" s="318"/>
      <c r="AX7" s="318"/>
      <c r="AY7" s="318"/>
      <c r="AZ7" s="318"/>
      <c r="BA7" s="318"/>
      <c r="BB7" s="318"/>
      <c r="BC7" s="318"/>
      <c r="BD7" s="318"/>
      <c r="BE7" s="318"/>
      <c r="BF7" s="318"/>
      <c r="BG7" s="333"/>
      <c r="BH7" s="333"/>
      <c r="BI7" s="333"/>
      <c r="BJ7" s="333"/>
      <c r="BK7" s="333"/>
      <c r="BL7" s="333"/>
      <c r="BM7" s="333"/>
      <c r="BN7" s="333"/>
      <c r="BO7" s="333"/>
      <c r="BP7" s="333"/>
      <c r="BQ7" s="333"/>
      <c r="BR7" s="333"/>
      <c r="BS7" s="333"/>
      <c r="BT7" s="334"/>
      <c r="BU7" s="335"/>
      <c r="BV7" s="255"/>
      <c r="BY7" s="376" t="str">
        <f>'GRC and TUL Assumptions'!A7</f>
        <v>Roofing</v>
      </c>
      <c r="BZ7" s="373">
        <f>'GRC and TUL Assumptions'!C7</f>
        <v>100</v>
      </c>
      <c r="CA7" s="373">
        <f>'GRC and TUL Assumptions'!D7</f>
        <v>150</v>
      </c>
      <c r="CB7" s="373">
        <f>'GRC and TUL Assumptions'!E7</f>
        <v>300</v>
      </c>
      <c r="CC7" s="373">
        <v>0</v>
      </c>
      <c r="CD7" s="373">
        <f>'GRC and TUL Assumptions'!F7</f>
        <v>10</v>
      </c>
      <c r="CE7" s="373">
        <f>'GRC and TUL Assumptions'!G7</f>
        <v>20</v>
      </c>
      <c r="CF7" s="373">
        <f>'GRC and TUL Assumptions'!H7</f>
        <v>30</v>
      </c>
      <c r="CG7" s="373">
        <f t="shared" si="8"/>
        <v>10</v>
      </c>
      <c r="CH7" s="378"/>
      <c r="CI7" s="378"/>
      <c r="CJ7" s="378"/>
      <c r="CK7" s="378"/>
      <c r="CL7" s="378"/>
      <c r="CM7" s="378"/>
      <c r="CN7" s="378"/>
      <c r="CO7" s="378"/>
      <c r="CP7" s="378"/>
      <c r="CQ7" s="378"/>
      <c r="CR7" s="354"/>
      <c r="CS7" s="379"/>
      <c r="CT7" s="379"/>
      <c r="CU7" s="379"/>
      <c r="CV7" s="379"/>
      <c r="CW7" s="379"/>
      <c r="CX7" s="379"/>
      <c r="CY7" s="379"/>
      <c r="CZ7" s="379"/>
      <c r="DA7" s="379"/>
      <c r="DB7" s="379"/>
      <c r="DC7" s="379"/>
      <c r="DD7" s="354"/>
      <c r="DE7" s="378"/>
      <c r="DF7" s="378"/>
      <c r="DG7" s="378"/>
      <c r="DH7" s="378"/>
      <c r="DI7" s="378"/>
      <c r="DJ7" s="378"/>
      <c r="DK7" s="378"/>
      <c r="DL7" s="378"/>
      <c r="DM7" s="378"/>
      <c r="DN7" s="378"/>
      <c r="DO7" s="380"/>
      <c r="DP7" s="380"/>
      <c r="DQ7" s="380"/>
      <c r="DR7" s="380"/>
      <c r="DS7" s="380"/>
      <c r="DT7" s="380"/>
      <c r="DU7" s="380"/>
      <c r="DV7" s="380"/>
      <c r="DW7" s="380"/>
      <c r="DX7" s="380"/>
      <c r="DY7" s="380"/>
      <c r="DZ7" s="378"/>
      <c r="EA7" s="378"/>
      <c r="EB7" s="378"/>
      <c r="EC7" s="378"/>
      <c r="ED7" s="378"/>
      <c r="EE7" s="378"/>
      <c r="EF7" s="378"/>
      <c r="EG7" s="378"/>
      <c r="EH7" s="378"/>
      <c r="EI7" s="378"/>
      <c r="EJ7" s="354"/>
      <c r="EK7" s="380"/>
      <c r="EL7" s="380"/>
      <c r="EM7" s="380"/>
      <c r="EN7" s="380"/>
      <c r="EO7" s="380"/>
      <c r="EP7" s="380"/>
      <c r="EQ7" s="380"/>
      <c r="ER7" s="380"/>
      <c r="ES7" s="380"/>
      <c r="ET7" s="380"/>
      <c r="EU7" s="379"/>
      <c r="EV7" s="382"/>
      <c r="EW7" s="382"/>
      <c r="EX7" s="382"/>
      <c r="EY7" s="382"/>
      <c r="EZ7" s="382"/>
      <c r="FA7" s="382"/>
      <c r="FB7" s="382"/>
      <c r="FE7" s="91" t="s">
        <v>1657</v>
      </c>
    </row>
    <row r="8" spans="1:165" ht="35" customHeight="1" x14ac:dyDescent="0.3">
      <c r="A8" s="427" t="s">
        <v>1783</v>
      </c>
      <c r="B8" s="428" t="s">
        <v>972</v>
      </c>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318"/>
      <c r="AI8" s="318"/>
      <c r="AJ8" s="318"/>
      <c r="AK8" s="318"/>
      <c r="AL8" s="318"/>
      <c r="AM8" s="317"/>
      <c r="AN8" s="318"/>
      <c r="AO8" s="511"/>
      <c r="AP8" s="511"/>
      <c r="AQ8" s="511"/>
      <c r="AR8" s="511"/>
      <c r="AS8" s="511"/>
      <c r="AT8" s="511"/>
      <c r="AU8" s="318"/>
      <c r="AV8" s="318"/>
      <c r="AW8" s="318"/>
      <c r="AX8" s="318"/>
      <c r="AY8" s="318"/>
      <c r="AZ8" s="318"/>
      <c r="BA8" s="318"/>
      <c r="BB8" s="318"/>
      <c r="BC8" s="318"/>
      <c r="BD8" s="318"/>
      <c r="BE8" s="318"/>
      <c r="BF8" s="318"/>
      <c r="BG8" s="333"/>
      <c r="BH8" s="333"/>
      <c r="BI8" s="333"/>
      <c r="BJ8" s="333"/>
      <c r="BK8" s="333"/>
      <c r="BL8" s="333"/>
      <c r="BM8" s="333"/>
      <c r="BN8" s="333"/>
      <c r="BO8" s="333"/>
      <c r="BP8" s="333"/>
      <c r="BQ8" s="333"/>
      <c r="BR8" s="333"/>
      <c r="BS8" s="333"/>
      <c r="BT8" s="334"/>
      <c r="BU8" s="335"/>
      <c r="BV8" s="255"/>
      <c r="BY8" s="376" t="str">
        <f>'GRC and TUL Assumptions'!A8</f>
        <v>Exterior Wall Cladding</v>
      </c>
      <c r="BZ8" s="373">
        <f>'GRC and TUL Assumptions'!C8</f>
        <v>150</v>
      </c>
      <c r="CA8" s="373">
        <f>'GRC and TUL Assumptions'!D8</f>
        <v>230</v>
      </c>
      <c r="CB8" s="373">
        <f>'GRC and TUL Assumptions'!E8</f>
        <v>300</v>
      </c>
      <c r="CC8" s="373">
        <v>0</v>
      </c>
      <c r="CD8" s="373">
        <f>'GRC and TUL Assumptions'!F8</f>
        <v>20</v>
      </c>
      <c r="CE8" s="373">
        <f>'GRC and TUL Assumptions'!G8</f>
        <v>30</v>
      </c>
      <c r="CF8" s="373">
        <f>'GRC and TUL Assumptions'!H8</f>
        <v>40</v>
      </c>
      <c r="CG8" s="373">
        <f t="shared" si="8"/>
        <v>20</v>
      </c>
      <c r="CH8" s="378"/>
      <c r="CI8" s="378"/>
      <c r="CJ8" s="378"/>
      <c r="CK8" s="378"/>
      <c r="CL8" s="378"/>
      <c r="CM8" s="378"/>
      <c r="CN8" s="378"/>
      <c r="CO8" s="378"/>
      <c r="CP8" s="378"/>
      <c r="CQ8" s="378"/>
      <c r="CR8" s="354"/>
      <c r="CS8" s="379"/>
      <c r="CT8" s="379"/>
      <c r="CU8" s="379"/>
      <c r="CV8" s="379"/>
      <c r="CW8" s="379"/>
      <c r="CX8" s="379"/>
      <c r="CY8" s="379"/>
      <c r="CZ8" s="379"/>
      <c r="DA8" s="379"/>
      <c r="DB8" s="379"/>
      <c r="DC8" s="379"/>
      <c r="DD8" s="354"/>
      <c r="DE8" s="378"/>
      <c r="DF8" s="378"/>
      <c r="DG8" s="378"/>
      <c r="DH8" s="378"/>
      <c r="DI8" s="378"/>
      <c r="DJ8" s="378"/>
      <c r="DK8" s="378"/>
      <c r="DL8" s="378"/>
      <c r="DM8" s="378"/>
      <c r="DN8" s="378"/>
      <c r="DO8" s="380"/>
      <c r="DP8" s="380"/>
      <c r="DQ8" s="380"/>
      <c r="DR8" s="380"/>
      <c r="DS8" s="380"/>
      <c r="DT8" s="380"/>
      <c r="DU8" s="380"/>
      <c r="DV8" s="380"/>
      <c r="DW8" s="380"/>
      <c r="DX8" s="380"/>
      <c r="DY8" s="380"/>
      <c r="DZ8" s="378"/>
      <c r="EA8" s="378"/>
      <c r="EB8" s="378"/>
      <c r="EC8" s="378"/>
      <c r="ED8" s="378"/>
      <c r="EE8" s="378"/>
      <c r="EF8" s="378"/>
      <c r="EG8" s="378"/>
      <c r="EH8" s="378"/>
      <c r="EI8" s="378"/>
      <c r="EJ8" s="354"/>
      <c r="EK8" s="380"/>
      <c r="EL8" s="380"/>
      <c r="EM8" s="380"/>
      <c r="EN8" s="380"/>
      <c r="EO8" s="380"/>
      <c r="EP8" s="380"/>
      <c r="EQ8" s="380"/>
      <c r="ER8" s="380"/>
      <c r="ES8" s="380"/>
      <c r="ET8" s="380"/>
      <c r="EU8" s="379"/>
      <c r="EV8" s="382"/>
      <c r="EW8" s="382"/>
      <c r="EX8" s="382"/>
      <c r="EY8" s="382"/>
      <c r="EZ8" s="382"/>
      <c r="FA8" s="382"/>
      <c r="FB8" s="382"/>
      <c r="FE8" s="91" t="s">
        <v>1657</v>
      </c>
    </row>
    <row r="9" spans="1:165" ht="35" customHeight="1" x14ac:dyDescent="0.3">
      <c r="A9" s="427" t="s">
        <v>1784</v>
      </c>
      <c r="B9" s="428" t="s">
        <v>973</v>
      </c>
      <c r="C9" s="428"/>
      <c r="D9" s="428"/>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318"/>
      <c r="AI9" s="318"/>
      <c r="AJ9" s="318"/>
      <c r="AK9" s="318"/>
      <c r="AL9" s="318"/>
      <c r="AM9" s="317"/>
      <c r="AN9" s="318"/>
      <c r="AO9" s="511"/>
      <c r="AP9" s="511"/>
      <c r="AQ9" s="511"/>
      <c r="AR9" s="511"/>
      <c r="AS9" s="511"/>
      <c r="AT9" s="511"/>
      <c r="AU9" s="318"/>
      <c r="AV9" s="318"/>
      <c r="AW9" s="318"/>
      <c r="AX9" s="318"/>
      <c r="AY9" s="318"/>
      <c r="AZ9" s="318"/>
      <c r="BA9" s="318"/>
      <c r="BB9" s="318"/>
      <c r="BC9" s="318"/>
      <c r="BD9" s="318"/>
      <c r="BE9" s="318"/>
      <c r="BF9" s="318"/>
      <c r="BG9" s="333"/>
      <c r="BH9" s="333"/>
      <c r="BI9" s="333"/>
      <c r="BJ9" s="333"/>
      <c r="BK9" s="333"/>
      <c r="BL9" s="333"/>
      <c r="BM9" s="333"/>
      <c r="BN9" s="333"/>
      <c r="BO9" s="333"/>
      <c r="BP9" s="333"/>
      <c r="BQ9" s="333"/>
      <c r="BR9" s="333"/>
      <c r="BS9" s="333"/>
      <c r="BT9" s="334"/>
      <c r="BU9" s="335"/>
      <c r="BV9" s="255"/>
      <c r="BY9" s="376" t="s">
        <v>165</v>
      </c>
      <c r="BZ9" s="373">
        <v>250</v>
      </c>
      <c r="CA9" s="373">
        <v>350</v>
      </c>
      <c r="CB9" s="373">
        <v>500</v>
      </c>
      <c r="CC9" s="373">
        <v>0</v>
      </c>
      <c r="CD9" s="373">
        <v>40</v>
      </c>
      <c r="CE9" s="373">
        <v>60</v>
      </c>
      <c r="CF9" s="373">
        <v>60</v>
      </c>
      <c r="CG9" s="373">
        <v>40</v>
      </c>
      <c r="CH9" s="378"/>
      <c r="CI9" s="378"/>
      <c r="CJ9" s="378"/>
      <c r="CK9" s="378"/>
      <c r="CL9" s="378"/>
      <c r="CM9" s="378"/>
      <c r="CN9" s="378"/>
      <c r="CO9" s="378"/>
      <c r="CP9" s="378"/>
      <c r="CQ9" s="378"/>
      <c r="CR9" s="354"/>
      <c r="CS9" s="379"/>
      <c r="CT9" s="379"/>
      <c r="CU9" s="379"/>
      <c r="CV9" s="379"/>
      <c r="CW9" s="379"/>
      <c r="CX9" s="379"/>
      <c r="CY9" s="379"/>
      <c r="CZ9" s="379"/>
      <c r="DA9" s="379"/>
      <c r="DB9" s="379"/>
      <c r="DC9" s="379"/>
      <c r="DD9" s="354"/>
      <c r="DE9" s="378"/>
      <c r="DF9" s="378"/>
      <c r="DG9" s="378"/>
      <c r="DH9" s="378"/>
      <c r="DI9" s="378"/>
      <c r="DJ9" s="378"/>
      <c r="DK9" s="378"/>
      <c r="DL9" s="378"/>
      <c r="DM9" s="378"/>
      <c r="DN9" s="378"/>
      <c r="DO9" s="380"/>
      <c r="DP9" s="380"/>
      <c r="DQ9" s="380"/>
      <c r="DR9" s="380"/>
      <c r="DS9" s="380"/>
      <c r="DT9" s="380"/>
      <c r="DU9" s="380"/>
      <c r="DV9" s="380"/>
      <c r="DW9" s="380"/>
      <c r="DX9" s="380"/>
      <c r="DY9" s="380"/>
      <c r="DZ9" s="378"/>
      <c r="EA9" s="378"/>
      <c r="EB9" s="378"/>
      <c r="EC9" s="378"/>
      <c r="ED9" s="378"/>
      <c r="EE9" s="378"/>
      <c r="EF9" s="378"/>
      <c r="EG9" s="378"/>
      <c r="EH9" s="378"/>
      <c r="EI9" s="378"/>
      <c r="EJ9" s="354"/>
      <c r="EK9" s="380"/>
      <c r="EL9" s="380"/>
      <c r="EM9" s="380"/>
      <c r="EN9" s="380"/>
      <c r="EO9" s="380"/>
      <c r="EP9" s="380"/>
      <c r="EQ9" s="380"/>
      <c r="ER9" s="380"/>
      <c r="ES9" s="380"/>
      <c r="ET9" s="380"/>
      <c r="EU9" s="379"/>
      <c r="EV9" s="382"/>
      <c r="EW9" s="382"/>
      <c r="EX9" s="382"/>
      <c r="EY9" s="382"/>
      <c r="EZ9" s="382"/>
      <c r="FA9" s="382"/>
      <c r="FB9" s="382"/>
      <c r="FD9" s="582" t="s">
        <v>1612</v>
      </c>
      <c r="FE9" s="582"/>
      <c r="FF9" s="582"/>
      <c r="FG9" s="582"/>
      <c r="FH9" s="582"/>
      <c r="FI9" s="582"/>
    </row>
    <row r="10" spans="1:165" ht="35" customHeight="1" x14ac:dyDescent="0.3">
      <c r="A10" s="330" t="s">
        <v>1785</v>
      </c>
      <c r="B10" s="318" t="s">
        <v>979</v>
      </c>
      <c r="C10" s="318" t="s">
        <v>64</v>
      </c>
      <c r="D10" s="318" t="s">
        <v>85</v>
      </c>
      <c r="E10" s="318" t="s">
        <v>8</v>
      </c>
      <c r="F10" s="318" t="s">
        <v>278</v>
      </c>
      <c r="G10" s="318" t="s">
        <v>723</v>
      </c>
      <c r="H10" s="318" t="s">
        <v>1010</v>
      </c>
      <c r="I10" s="318" t="s">
        <v>1011</v>
      </c>
      <c r="J10" s="318" t="s">
        <v>1045</v>
      </c>
      <c r="K10" s="318" t="s">
        <v>1049</v>
      </c>
      <c r="L10" s="318" t="s">
        <v>1056</v>
      </c>
      <c r="M10" s="318" t="s">
        <v>1062</v>
      </c>
      <c r="N10" s="318" t="s">
        <v>1069</v>
      </c>
      <c r="O10" s="318" t="s">
        <v>1074</v>
      </c>
      <c r="P10" s="318" t="s">
        <v>1077</v>
      </c>
      <c r="Q10" s="318" t="s">
        <v>954</v>
      </c>
      <c r="R10" s="318" t="s">
        <v>1086</v>
      </c>
      <c r="S10" s="318" t="s">
        <v>1089</v>
      </c>
      <c r="T10" s="318" t="s">
        <v>1018</v>
      </c>
      <c r="U10" s="318" t="s">
        <v>1018</v>
      </c>
      <c r="V10" s="318" t="s">
        <v>1018</v>
      </c>
      <c r="W10" s="318" t="s">
        <v>1018</v>
      </c>
      <c r="X10" s="318" t="s">
        <v>1018</v>
      </c>
      <c r="Y10" s="318" t="s">
        <v>1018</v>
      </c>
      <c r="Z10" s="318" t="s">
        <v>1018</v>
      </c>
      <c r="AA10" s="318" t="s">
        <v>1018</v>
      </c>
      <c r="AB10" s="318" t="s">
        <v>1018</v>
      </c>
      <c r="AC10" s="318" t="s">
        <v>1018</v>
      </c>
      <c r="AD10" s="318" t="s">
        <v>1771</v>
      </c>
      <c r="AE10" s="318">
        <v>2160</v>
      </c>
      <c r="AF10" s="318">
        <v>60</v>
      </c>
      <c r="AG10" s="318">
        <v>2015</v>
      </c>
      <c r="AH10" s="318" t="s">
        <v>982</v>
      </c>
      <c r="AI10" s="318">
        <f>AG10</f>
        <v>2015</v>
      </c>
      <c r="AJ10" s="318" t="str">
        <f>AH10</f>
        <v>Actual</v>
      </c>
      <c r="AK10" s="318"/>
      <c r="AL10" s="318"/>
      <c r="AM10" s="317">
        <f>DC10+EW10</f>
        <v>6856881.1277783141</v>
      </c>
      <c r="AN10" s="318" t="s">
        <v>800</v>
      </c>
      <c r="AO10" s="511">
        <f>EJ10+FA10</f>
        <v>1017165.4755409495</v>
      </c>
      <c r="AP10" s="511">
        <f>AM10-AO10</f>
        <v>5839715.652237365</v>
      </c>
      <c r="AQ10" s="511">
        <f>EU10+FB10</f>
        <v>145309.35364870707</v>
      </c>
      <c r="AR10" s="511">
        <f>AP10-AQ10</f>
        <v>5694406.2985886578</v>
      </c>
      <c r="AS10" s="511">
        <f>HLOOKUP($C$1,'Inflation Adjustments'!$BI$3:$BT$4,2)*CR10</f>
        <v>11994720.569999998</v>
      </c>
      <c r="AT10" s="511">
        <f>IF(BU10="In Service",'Maintenace Cost Assumptions'!$B$3*AS10,0)</f>
        <v>59973.602849999996</v>
      </c>
      <c r="AU10" s="318">
        <v>4</v>
      </c>
      <c r="AV10" s="318">
        <v>4</v>
      </c>
      <c r="AW10" s="318">
        <v>3</v>
      </c>
      <c r="AX10" s="318">
        <v>3</v>
      </c>
      <c r="AY10" s="318">
        <v>3</v>
      </c>
      <c r="AZ10" s="318">
        <v>3</v>
      </c>
      <c r="BA10" s="318">
        <v>3</v>
      </c>
      <c r="BB10" s="318"/>
      <c r="BC10" s="318"/>
      <c r="BD10" s="318"/>
      <c r="BE10" s="318">
        <v>3</v>
      </c>
      <c r="BF10" s="318"/>
      <c r="BG10" s="332">
        <f>(AU10*'Condition rating weights'!H$8+AV10*'Condition rating weights'!I$8+AW10*'Condition rating weights'!J$8+AX10*'Condition rating weights'!K$8+AY10*'Condition rating weights'!L$8+AZ10*'Condition rating weights'!M$8+BA10*'Condition rating weights'!N$8+BB10*'Condition rating weights'!O$8+BC10*'Condition rating weights'!P$8+BD10*'Condition rating weights'!Q$8+BE10*'Condition rating weights'!R$8+BF10*'Condition rating weights'!S$8)/100</f>
        <v>0.68</v>
      </c>
      <c r="BH10" s="333">
        <v>1</v>
      </c>
      <c r="BI10" s="333">
        <v>411</v>
      </c>
      <c r="BJ10" s="333" t="s">
        <v>12</v>
      </c>
      <c r="BK10" s="333" t="s">
        <v>959</v>
      </c>
      <c r="BL10" s="333" t="s">
        <v>960</v>
      </c>
      <c r="BM10" s="333" t="s">
        <v>961</v>
      </c>
      <c r="BN10" s="333" t="s">
        <v>117</v>
      </c>
      <c r="BO10" s="333" t="s">
        <v>962</v>
      </c>
      <c r="BP10" s="333" t="s">
        <v>962</v>
      </c>
      <c r="BQ10" s="333" t="s">
        <v>978</v>
      </c>
      <c r="BR10" s="333" t="s">
        <v>964</v>
      </c>
      <c r="BS10" s="333" t="s">
        <v>964</v>
      </c>
      <c r="BT10" s="334" t="s">
        <v>965</v>
      </c>
      <c r="BU10" s="335" t="s">
        <v>1430</v>
      </c>
      <c r="BV10" s="255"/>
      <c r="BY10" s="376" t="s">
        <v>166</v>
      </c>
      <c r="BZ10" s="373">
        <v>100</v>
      </c>
      <c r="CA10" s="373">
        <v>150</v>
      </c>
      <c r="CB10" s="373">
        <v>300</v>
      </c>
      <c r="CC10" s="373">
        <v>0</v>
      </c>
      <c r="CD10" s="373">
        <v>20</v>
      </c>
      <c r="CE10" s="373">
        <v>30</v>
      </c>
      <c r="CF10" s="373">
        <v>40</v>
      </c>
      <c r="CG10" s="373">
        <v>20</v>
      </c>
      <c r="CH10" s="378">
        <f>(HLOOKUP(T10,$BZ$4:$CC$14,2,TRUE))*$AE10</f>
        <v>648000</v>
      </c>
      <c r="CI10" s="378">
        <f>(HLOOKUP(U10,$BZ$4:$CC$14,3,TRUE))*$AE10</f>
        <v>3240000</v>
      </c>
      <c r="CJ10" s="378">
        <f>(HLOOKUP(V10,$BZ$4:$CC$14,4,TRUE))*$AE10/BH10</f>
        <v>648000</v>
      </c>
      <c r="CK10" s="378">
        <f>(HLOOKUP(W10,$BZ$4:$CC$14,5,TRUE))*$AE10</f>
        <v>648000</v>
      </c>
      <c r="CL10" s="378">
        <f>(HLOOKUP(X10,$BZ$4:$CC$14,6,TRUE))*$AE10</f>
        <v>1080000</v>
      </c>
      <c r="CM10" s="378">
        <f>(HLOOKUP(Y10,$BZ$4:$CC$14,7,TRUE))*$AE10</f>
        <v>648000</v>
      </c>
      <c r="CN10" s="378">
        <f>(HLOOKUP(Z10,$BZ$4:$CC$14,8,FALSE))*$AE10</f>
        <v>324000</v>
      </c>
      <c r="CO10" s="378">
        <f>(HLOOKUP(AA10,$BZ$4:$CC$14,9,FALSE))*$AE10</f>
        <v>324000</v>
      </c>
      <c r="CP10" s="378">
        <f>(HLOOKUP(AB10,$BZ$4:$CC$14,10,FALSE))*$AE10</f>
        <v>324000</v>
      </c>
      <c r="CQ10" s="378">
        <f>(HLOOKUP(AC10,$BZ$4:$CC$14,11,FALSE))*$AE10</f>
        <v>151200</v>
      </c>
      <c r="CR10" s="354">
        <f>SUM(CH10:CQ10)</f>
        <v>8035200</v>
      </c>
      <c r="CS10" s="379">
        <f>(HLOOKUP($AI10,'Inflation Adjustments'!$B$3:$BT$4,2,TRUE))*CH10</f>
        <v>552974.28449825104</v>
      </c>
      <c r="CT10" s="379">
        <f>(HLOOKUP($AI10,'Inflation Adjustments'!$B$3:$BT$4,2,TRUE))*CI10</f>
        <v>2764871.4224912552</v>
      </c>
      <c r="CU10" s="379">
        <f>(HLOOKUP($AI10,'Inflation Adjustments'!$B$3:$BT$4,2,TRUE))*CJ10</f>
        <v>552974.28449825104</v>
      </c>
      <c r="CV10" s="379">
        <f>(HLOOKUP($AI10,'Inflation Adjustments'!$B$3:$BT$4,2,TRUE))*CK10</f>
        <v>552974.28449825104</v>
      </c>
      <c r="CW10" s="379">
        <f>(HLOOKUP($AI10,'Inflation Adjustments'!$B$3:$BT$4,2,TRUE))*CL10</f>
        <v>921623.80749708496</v>
      </c>
      <c r="CX10" s="379">
        <f>(HLOOKUP($AI10,'Inflation Adjustments'!$B$3:$BT$4,2,TRUE))*CM10</f>
        <v>552974.28449825104</v>
      </c>
      <c r="CY10" s="379">
        <f>(HLOOKUP($AI10,'Inflation Adjustments'!$B$3:$BT$4,2,TRUE))*CN10</f>
        <v>276487.14224912552</v>
      </c>
      <c r="CZ10" s="379">
        <f>(HLOOKUP($AI10,'Inflation Adjustments'!$B$3:$BT$4,2,TRUE))*CO10</f>
        <v>276487.14224912552</v>
      </c>
      <c r="DA10" s="379">
        <f>(HLOOKUP($AI10,'Inflation Adjustments'!$B$3:$BT$4,2,TRUE))*CP10</f>
        <v>276487.14224912552</v>
      </c>
      <c r="DB10" s="379">
        <f>(HLOOKUP($AI10,'Inflation Adjustments'!$B$3:$BT$4,2,TRUE))*CQ10</f>
        <v>129027.33304959191</v>
      </c>
      <c r="DC10" s="379">
        <f>SUM(CS10:DB10)</f>
        <v>6856881.1277783141</v>
      </c>
      <c r="DD10" s="354">
        <f>IF(($C$1-AI10-1)&lt;0,0,$C$1-AI10-1)</f>
        <v>7</v>
      </c>
      <c r="DE10" s="378">
        <f>(HLOOKUP(T10,$CD$4:$CG$14,2,FALSE))</f>
        <v>60</v>
      </c>
      <c r="DF10" s="378">
        <f>(HLOOKUP(U10,$CD$4:$CG$14,3,FALSE))</f>
        <v>60</v>
      </c>
      <c r="DG10" s="378">
        <f>(HLOOKUP(V10,$CD$4:$CG$14,4,FALSE))</f>
        <v>30</v>
      </c>
      <c r="DH10" s="378">
        <f>(HLOOKUP(W10,$CD$4:$CG$14,5,FALSE))</f>
        <v>40</v>
      </c>
      <c r="DI10" s="378">
        <f>(HLOOKUP(X10,$CD$4:$CG$14,6,FALSE))</f>
        <v>60</v>
      </c>
      <c r="DJ10" s="378">
        <f>(HLOOKUP(Y10,$CD$4:$CG$14,7,FALSE))</f>
        <v>40</v>
      </c>
      <c r="DK10" s="378">
        <f>(HLOOKUP(Z10,$CD$4:$CG$14,8,FALSE))</f>
        <v>30</v>
      </c>
      <c r="DL10" s="378">
        <f>(HLOOKUP(AA10,$CD$4:$CG$14,8,FALSE))</f>
        <v>30</v>
      </c>
      <c r="DM10" s="378">
        <f>(HLOOKUP(AB10,$CD$4:$CG$14,9))</f>
        <v>40</v>
      </c>
      <c r="DN10" s="378">
        <f>(HLOOKUP(AC10,$CD$4:$CG$14,10))</f>
        <v>40</v>
      </c>
      <c r="DO10" s="380">
        <f t="shared" ref="DO10:DX11" si="9">CS10/DE10</f>
        <v>9216.23807497085</v>
      </c>
      <c r="DP10" s="380">
        <f t="shared" si="9"/>
        <v>46081.190374854254</v>
      </c>
      <c r="DQ10" s="380">
        <f t="shared" si="9"/>
        <v>18432.4761499417</v>
      </c>
      <c r="DR10" s="380">
        <f t="shared" si="9"/>
        <v>13824.357112456277</v>
      </c>
      <c r="DS10" s="380">
        <f t="shared" si="9"/>
        <v>15360.396791618083</v>
      </c>
      <c r="DT10" s="380">
        <f t="shared" si="9"/>
        <v>13824.357112456277</v>
      </c>
      <c r="DU10" s="380">
        <f t="shared" si="9"/>
        <v>9216.23807497085</v>
      </c>
      <c r="DV10" s="380">
        <f t="shared" si="9"/>
        <v>9216.23807497085</v>
      </c>
      <c r="DW10" s="380">
        <f t="shared" si="9"/>
        <v>6912.1785562281384</v>
      </c>
      <c r="DX10" s="380">
        <f t="shared" si="9"/>
        <v>3225.6833262397977</v>
      </c>
      <c r="DY10" s="380">
        <f>SUM(DO10:DX10)</f>
        <v>145309.35364870707</v>
      </c>
      <c r="DZ10" s="378">
        <f t="shared" ref="DZ10:EI11" si="10">IF(DO10*$DD10&gt;CS10,CS10,DO10*$DD10)</f>
        <v>64513.666524795946</v>
      </c>
      <c r="EA10" s="378">
        <f t="shared" si="10"/>
        <v>322568.33262397978</v>
      </c>
      <c r="EB10" s="378">
        <f t="shared" si="10"/>
        <v>129027.33304959189</v>
      </c>
      <c r="EC10" s="378">
        <f t="shared" si="10"/>
        <v>96770.499787193941</v>
      </c>
      <c r="ED10" s="378">
        <f t="shared" si="10"/>
        <v>107522.77754132658</v>
      </c>
      <c r="EE10" s="378">
        <f t="shared" si="10"/>
        <v>96770.499787193941</v>
      </c>
      <c r="EF10" s="378">
        <f t="shared" si="10"/>
        <v>64513.666524795946</v>
      </c>
      <c r="EG10" s="378">
        <f t="shared" si="10"/>
        <v>64513.666524795946</v>
      </c>
      <c r="EH10" s="378">
        <f t="shared" si="10"/>
        <v>48385.249893596971</v>
      </c>
      <c r="EI10" s="378">
        <f t="shared" si="10"/>
        <v>22579.783283678582</v>
      </c>
      <c r="EJ10" s="354">
        <f>SUM(DZ10:EI10)</f>
        <v>1017165.4755409495</v>
      </c>
      <c r="EK10" s="380">
        <f t="shared" ref="EK10:ET11" si="11">IF(DO10&lt;(CS10-DZ10),DO10,(CS10-DZ10))</f>
        <v>9216.23807497085</v>
      </c>
      <c r="EL10" s="380">
        <f t="shared" si="11"/>
        <v>46081.190374854254</v>
      </c>
      <c r="EM10" s="380">
        <f t="shared" si="11"/>
        <v>18432.4761499417</v>
      </c>
      <c r="EN10" s="380">
        <f t="shared" si="11"/>
        <v>13824.357112456277</v>
      </c>
      <c r="EO10" s="380">
        <f t="shared" si="11"/>
        <v>15360.396791618083</v>
      </c>
      <c r="EP10" s="380">
        <f t="shared" si="11"/>
        <v>13824.357112456277</v>
      </c>
      <c r="EQ10" s="380">
        <f t="shared" si="11"/>
        <v>9216.23807497085</v>
      </c>
      <c r="ER10" s="380">
        <f t="shared" si="11"/>
        <v>9216.23807497085</v>
      </c>
      <c r="ES10" s="380">
        <f t="shared" si="11"/>
        <v>6912.1785562281384</v>
      </c>
      <c r="ET10" s="380">
        <f t="shared" si="11"/>
        <v>3225.6833262397977</v>
      </c>
      <c r="EU10" s="379">
        <f>SUM(EK10:ET10)</f>
        <v>145309.35364870707</v>
      </c>
      <c r="EV10" s="382"/>
      <c r="EW10" s="382"/>
      <c r="EX10" s="382"/>
      <c r="EY10" s="382"/>
      <c r="EZ10" s="382"/>
      <c r="FA10" s="382"/>
      <c r="FB10" s="382"/>
      <c r="FD10" s="582" t="s">
        <v>1612</v>
      </c>
      <c r="FE10" s="582"/>
      <c r="FF10" s="582"/>
      <c r="FG10" s="582"/>
      <c r="FH10" s="582"/>
      <c r="FI10" s="582"/>
    </row>
    <row r="11" spans="1:165" ht="35" customHeight="1" x14ac:dyDescent="0.3">
      <c r="A11" s="318" t="s">
        <v>1786</v>
      </c>
      <c r="B11" s="318" t="s">
        <v>1617</v>
      </c>
      <c r="C11" s="318" t="s">
        <v>1240</v>
      </c>
      <c r="D11" s="318" t="s">
        <v>79</v>
      </c>
      <c r="E11" s="318" t="s">
        <v>8</v>
      </c>
      <c r="F11" s="318" t="s">
        <v>276</v>
      </c>
      <c r="G11" s="318" t="s">
        <v>724</v>
      </c>
      <c r="H11" s="318" t="s">
        <v>1615</v>
      </c>
      <c r="I11" s="318" t="s">
        <v>1143</v>
      </c>
      <c r="J11" s="318" t="s">
        <v>1045</v>
      </c>
      <c r="K11" s="318" t="s">
        <v>1047</v>
      </c>
      <c r="L11" s="318" t="s">
        <v>1055</v>
      </c>
      <c r="M11" s="318" t="s">
        <v>1060</v>
      </c>
      <c r="N11" s="318" t="s">
        <v>1069</v>
      </c>
      <c r="O11" s="318" t="s">
        <v>1371</v>
      </c>
      <c r="P11" s="318" t="s">
        <v>1077</v>
      </c>
      <c r="Q11" s="318" t="s">
        <v>1082</v>
      </c>
      <c r="R11" s="318" t="s">
        <v>1086</v>
      </c>
      <c r="S11" s="318" t="s">
        <v>1091</v>
      </c>
      <c r="T11" s="318" t="s">
        <v>104</v>
      </c>
      <c r="U11" s="318" t="s">
        <v>104</v>
      </c>
      <c r="V11" s="318" t="s">
        <v>104</v>
      </c>
      <c r="W11" s="318" t="s">
        <v>104</v>
      </c>
      <c r="X11" s="318" t="s">
        <v>104</v>
      </c>
      <c r="Y11" s="318" t="s">
        <v>104</v>
      </c>
      <c r="Z11" s="318" t="s">
        <v>104</v>
      </c>
      <c r="AA11" s="318" t="s">
        <v>104</v>
      </c>
      <c r="AB11" s="318" t="s">
        <v>104</v>
      </c>
      <c r="AC11" s="318" t="s">
        <v>104</v>
      </c>
      <c r="AD11" s="318" t="s">
        <v>1771</v>
      </c>
      <c r="AE11" s="318">
        <f>16.5*14.8</f>
        <v>244.20000000000002</v>
      </c>
      <c r="AF11" s="318">
        <v>60</v>
      </c>
      <c r="AG11" s="318">
        <v>2022</v>
      </c>
      <c r="AH11" s="318" t="s">
        <v>800</v>
      </c>
      <c r="AI11" s="318">
        <f>AG11</f>
        <v>2022</v>
      </c>
      <c r="AJ11" s="318" t="str">
        <f>AH11</f>
        <v>Estimated</v>
      </c>
      <c r="AK11" s="318"/>
      <c r="AL11" s="318"/>
      <c r="AM11" s="317">
        <f>DC11+EW11</f>
        <v>689446.4259375002</v>
      </c>
      <c r="AN11" s="318" t="s">
        <v>800</v>
      </c>
      <c r="AO11" s="511">
        <f>EJ11+FA11</f>
        <v>0</v>
      </c>
      <c r="AP11" s="511">
        <f>AM11-AO11</f>
        <v>689446.4259375002</v>
      </c>
      <c r="AQ11" s="511">
        <f>EU11+FB11</f>
        <v>17302.199578125001</v>
      </c>
      <c r="AR11" s="511">
        <f>AP11-AQ11</f>
        <v>672144.22635937517</v>
      </c>
      <c r="AS11" s="511">
        <f>HLOOKUP($C$1,'Inflation Adjustments'!$BI$3:$BT$4,2)*CR11</f>
        <v>792863.3898281249</v>
      </c>
      <c r="AT11" s="511">
        <f>IF(BU11="In Service",'Maintenace Cost Assumptions'!$B$3*AS11,0)</f>
        <v>3964.3169491406247</v>
      </c>
      <c r="AU11" s="318">
        <v>4</v>
      </c>
      <c r="AV11" s="318">
        <v>4</v>
      </c>
      <c r="AW11" s="318">
        <v>4</v>
      </c>
      <c r="AX11" s="318">
        <v>4</v>
      </c>
      <c r="AY11" s="318">
        <v>4</v>
      </c>
      <c r="AZ11" s="318">
        <v>4</v>
      </c>
      <c r="BA11" s="318">
        <v>4</v>
      </c>
      <c r="BB11" s="318"/>
      <c r="BC11" s="318"/>
      <c r="BD11" s="318"/>
      <c r="BE11" s="318">
        <v>4</v>
      </c>
      <c r="BF11" s="318"/>
      <c r="BG11" s="332">
        <f>(AU11*'Condition rating weights'!H$8+AV11*'Condition rating weights'!I$8+AW11*'Condition rating weights'!J$8+AX11*'Condition rating weights'!K$8+AY11*'Condition rating weights'!L$8+AZ11*'Condition rating weights'!M$8+BA11*'Condition rating weights'!N$8+BB11*'Condition rating weights'!O$8+BC11*'Condition rating weights'!P$8+BD11*'Condition rating weights'!Q$8+BE11*'Condition rating weights'!R$8+BF11*'Condition rating weights'!S$8)/100</f>
        <v>0.8</v>
      </c>
      <c r="BH11" s="333">
        <v>2</v>
      </c>
      <c r="BI11" s="333">
        <v>111</v>
      </c>
      <c r="BJ11" s="333" t="s">
        <v>12</v>
      </c>
      <c r="BK11" s="333" t="s">
        <v>959</v>
      </c>
      <c r="BL11" s="333" t="s">
        <v>974</v>
      </c>
      <c r="BM11" s="333" t="s">
        <v>961</v>
      </c>
      <c r="BN11" s="333" t="s">
        <v>117</v>
      </c>
      <c r="BO11" s="333" t="s">
        <v>962</v>
      </c>
      <c r="BP11" s="333" t="s">
        <v>962</v>
      </c>
      <c r="BQ11" s="333" t="s">
        <v>963</v>
      </c>
      <c r="BR11" s="333" t="s">
        <v>964</v>
      </c>
      <c r="BS11" s="333" t="s">
        <v>964</v>
      </c>
      <c r="BT11" s="334" t="s">
        <v>965</v>
      </c>
      <c r="BU11" s="335" t="s">
        <v>1430</v>
      </c>
      <c r="BV11" s="255"/>
      <c r="BY11" s="376" t="s">
        <v>167</v>
      </c>
      <c r="BZ11" s="373">
        <v>80</v>
      </c>
      <c r="CA11" s="373">
        <v>100</v>
      </c>
      <c r="CB11" s="373">
        <v>150</v>
      </c>
      <c r="CC11" s="373">
        <v>0</v>
      </c>
      <c r="CD11" s="373">
        <v>10</v>
      </c>
      <c r="CE11" s="373">
        <v>20</v>
      </c>
      <c r="CF11" s="373">
        <v>30</v>
      </c>
      <c r="CG11" s="373">
        <v>10</v>
      </c>
      <c r="CH11" s="378">
        <f>(HLOOKUP(T11,$BZ$4:$CC$14,2,TRUE))*$AE11</f>
        <v>48840</v>
      </c>
      <c r="CI11" s="378">
        <f>(HLOOKUP(U11,$BZ$4:$CC$14,3,TRUE))*$AE11</f>
        <v>195360</v>
      </c>
      <c r="CJ11" s="378">
        <f>(HLOOKUP(V11,$BZ$4:$CC$14,4,TRUE))*$AE11/BH11</f>
        <v>18315</v>
      </c>
      <c r="CK11" s="378">
        <f>(HLOOKUP(W11,$BZ$4:$CC$14,5,TRUE))*$AE11</f>
        <v>56166.000000000007</v>
      </c>
      <c r="CL11" s="378">
        <f>(HLOOKUP(X11,$BZ$4:$CC$14,6,TRUE))*$AE11</f>
        <v>85470</v>
      </c>
      <c r="CM11" s="378">
        <f>(HLOOKUP(Y11,$BZ$4:$CC$14,7,TRUE))*$AE11</f>
        <v>36630</v>
      </c>
      <c r="CN11" s="378">
        <f>(HLOOKUP(Z11,$BZ$4:$CC$14,8,FALSE))*$AE11</f>
        <v>24420</v>
      </c>
      <c r="CO11" s="378">
        <f>(HLOOKUP(AA11,$BZ$4:$CC$14,9,FALSE))*$AE11</f>
        <v>24420</v>
      </c>
      <c r="CP11" s="378">
        <f>(HLOOKUP(AB11,$BZ$4:$CC$14,10,FALSE))*$AE11</f>
        <v>31746.000000000004</v>
      </c>
      <c r="CQ11" s="378">
        <f>(HLOOKUP(AC11,$BZ$4:$CC$14,11,FALSE))*$AE11</f>
        <v>9768</v>
      </c>
      <c r="CR11" s="354">
        <f>SUM(CH11:CQ11)</f>
        <v>531135</v>
      </c>
      <c r="CS11" s="379">
        <f>(HLOOKUP($AI11,'Inflation Adjustments'!$B$3:$BT$4,2,TRUE))*CH11</f>
        <v>63397.372499999998</v>
      </c>
      <c r="CT11" s="379">
        <f>(HLOOKUP($AI11,'Inflation Adjustments'!$B$3:$BT$4,2,TRUE))*CI11</f>
        <v>253589.49</v>
      </c>
      <c r="CU11" s="379">
        <f>(HLOOKUP($AI11,'Inflation Adjustments'!$B$3:$BT$4,2,TRUE))*CJ11</f>
        <v>23774.014687499999</v>
      </c>
      <c r="CV11" s="379">
        <f>(HLOOKUP($AI11,'Inflation Adjustments'!$B$3:$BT$4,2,TRUE))*CK11</f>
        <v>72906.978375000006</v>
      </c>
      <c r="CW11" s="379">
        <f>(HLOOKUP($AI11,'Inflation Adjustments'!$B$3:$BT$4,2,TRUE))*CL11</f>
        <v>110945.401875</v>
      </c>
      <c r="CX11" s="379">
        <f>(HLOOKUP($AI11,'Inflation Adjustments'!$B$3:$BT$4,2,TRUE))*CM11</f>
        <v>47548.029374999998</v>
      </c>
      <c r="CY11" s="379">
        <f>(HLOOKUP($AI11,'Inflation Adjustments'!$B$3:$BT$4,2,TRUE))*CN11</f>
        <v>31698.686249999999</v>
      </c>
      <c r="CZ11" s="379">
        <f>(HLOOKUP($AI11,'Inflation Adjustments'!$B$3:$BT$4,2,TRUE))*CO11</f>
        <v>31698.686249999999</v>
      </c>
      <c r="DA11" s="379">
        <f>(HLOOKUP($AI11,'Inflation Adjustments'!$B$3:$BT$4,2,TRUE))*CP11</f>
        <v>41208.292125</v>
      </c>
      <c r="DB11" s="379">
        <f>(HLOOKUP($AI11,'Inflation Adjustments'!$B$3:$BT$4,2,TRUE))*CQ11</f>
        <v>12679.474499999998</v>
      </c>
      <c r="DC11" s="379">
        <f>SUM(CS11:DB11)</f>
        <v>689446.4259375002</v>
      </c>
      <c r="DD11" s="354">
        <f>IF(($C$1-AI11-1)&lt;0,0,$C$1-AI11-1)</f>
        <v>0</v>
      </c>
      <c r="DE11" s="378">
        <f>(HLOOKUP(T11,$CD$4:$CG$14,2,FALSE))</f>
        <v>60</v>
      </c>
      <c r="DF11" s="378">
        <f>(HLOOKUP(U11,$CD$4:$CG$14,3,FALSE))</f>
        <v>60</v>
      </c>
      <c r="DG11" s="378">
        <f>(HLOOKUP(V11,$CD$4:$CG$14,4,FALSE))</f>
        <v>20</v>
      </c>
      <c r="DH11" s="378">
        <f>(HLOOKUP(W11,$CD$4:$CG$14,5,FALSE))</f>
        <v>30</v>
      </c>
      <c r="DI11" s="378">
        <f>(HLOOKUP(X11,$CD$4:$CG$14,6,FALSE))</f>
        <v>60</v>
      </c>
      <c r="DJ11" s="378">
        <f>(HLOOKUP(Y11,$CD$4:$CG$14,7,FALSE))</f>
        <v>30</v>
      </c>
      <c r="DK11" s="378">
        <f>(HLOOKUP(Z11,$CD$4:$CG$14,8,FALSE))</f>
        <v>20</v>
      </c>
      <c r="DL11" s="378">
        <f>(HLOOKUP(AA11,$CD$4:$CG$14,8,FALSE))</f>
        <v>20</v>
      </c>
      <c r="DM11" s="378">
        <f>(HLOOKUP(AB11,$CD$4:$CG$14,9))</f>
        <v>30</v>
      </c>
      <c r="DN11" s="378">
        <f>(HLOOKUP(AC11,$CD$4:$CG$14,10))</f>
        <v>30</v>
      </c>
      <c r="DO11" s="380">
        <f t="shared" si="9"/>
        <v>1056.622875</v>
      </c>
      <c r="DP11" s="380">
        <f t="shared" si="9"/>
        <v>4226.4915000000001</v>
      </c>
      <c r="DQ11" s="380">
        <f t="shared" si="9"/>
        <v>1188.7007343749999</v>
      </c>
      <c r="DR11" s="380">
        <f t="shared" si="9"/>
        <v>2430.2326125000004</v>
      </c>
      <c r="DS11" s="380">
        <f t="shared" si="9"/>
        <v>1849.09003125</v>
      </c>
      <c r="DT11" s="380">
        <f t="shared" si="9"/>
        <v>1584.9343125</v>
      </c>
      <c r="DU11" s="380">
        <f t="shared" si="9"/>
        <v>1584.9343125</v>
      </c>
      <c r="DV11" s="380">
        <f t="shared" si="9"/>
        <v>1584.9343125</v>
      </c>
      <c r="DW11" s="380">
        <f t="shared" si="9"/>
        <v>1373.6097374999999</v>
      </c>
      <c r="DX11" s="380">
        <f t="shared" si="9"/>
        <v>422.64914999999996</v>
      </c>
      <c r="DY11" s="380">
        <f>SUM(DO11:DX11)</f>
        <v>17302.199578125001</v>
      </c>
      <c r="DZ11" s="378">
        <f t="shared" si="10"/>
        <v>0</v>
      </c>
      <c r="EA11" s="378">
        <f t="shared" si="10"/>
        <v>0</v>
      </c>
      <c r="EB11" s="378">
        <f t="shared" si="10"/>
        <v>0</v>
      </c>
      <c r="EC11" s="378">
        <f t="shared" si="10"/>
        <v>0</v>
      </c>
      <c r="ED11" s="378">
        <f t="shared" si="10"/>
        <v>0</v>
      </c>
      <c r="EE11" s="378">
        <f t="shared" si="10"/>
        <v>0</v>
      </c>
      <c r="EF11" s="378">
        <f t="shared" si="10"/>
        <v>0</v>
      </c>
      <c r="EG11" s="378">
        <f t="shared" si="10"/>
        <v>0</v>
      </c>
      <c r="EH11" s="378">
        <f t="shared" si="10"/>
        <v>0</v>
      </c>
      <c r="EI11" s="378">
        <f t="shared" si="10"/>
        <v>0</v>
      </c>
      <c r="EJ11" s="354">
        <f>SUM(DZ11:EI11)</f>
        <v>0</v>
      </c>
      <c r="EK11" s="380">
        <f t="shared" si="11"/>
        <v>1056.622875</v>
      </c>
      <c r="EL11" s="380">
        <f t="shared" si="11"/>
        <v>4226.4915000000001</v>
      </c>
      <c r="EM11" s="380">
        <f t="shared" si="11"/>
        <v>1188.7007343749999</v>
      </c>
      <c r="EN11" s="380">
        <f t="shared" si="11"/>
        <v>2430.2326125000004</v>
      </c>
      <c r="EO11" s="380">
        <f t="shared" si="11"/>
        <v>1849.09003125</v>
      </c>
      <c r="EP11" s="380">
        <f t="shared" si="11"/>
        <v>1584.9343125</v>
      </c>
      <c r="EQ11" s="380">
        <f t="shared" si="11"/>
        <v>1584.9343125</v>
      </c>
      <c r="ER11" s="380">
        <f t="shared" si="11"/>
        <v>1584.9343125</v>
      </c>
      <c r="ES11" s="380">
        <f t="shared" si="11"/>
        <v>1373.6097374999999</v>
      </c>
      <c r="ET11" s="380">
        <f t="shared" si="11"/>
        <v>422.64914999999996</v>
      </c>
      <c r="EU11" s="379">
        <f>SUM(EK11:ET11)</f>
        <v>17302.199578125001</v>
      </c>
      <c r="EV11" s="382"/>
      <c r="EW11" s="382"/>
      <c r="EX11" s="382"/>
      <c r="EY11" s="382"/>
      <c r="EZ11" s="382"/>
      <c r="FA11" s="382"/>
      <c r="FB11" s="382"/>
      <c r="FD11" s="582" t="s">
        <v>1612</v>
      </c>
      <c r="FE11" s="582"/>
      <c r="FF11" s="582"/>
      <c r="FG11" s="582"/>
      <c r="FH11" s="582"/>
      <c r="FI11" s="582"/>
    </row>
    <row r="12" spans="1:165" ht="35" customHeight="1" x14ac:dyDescent="0.3">
      <c r="A12" s="330"/>
      <c r="B12" s="318"/>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7"/>
      <c r="AN12" s="318"/>
      <c r="AO12" s="511">
        <f t="shared" ref="AO12:AO20" si="12">EJ12+FA12</f>
        <v>0</v>
      </c>
      <c r="AP12" s="511">
        <f t="shared" ref="AP12:AP20" si="13">AM12-AO12</f>
        <v>0</v>
      </c>
      <c r="AQ12" s="511">
        <f t="shared" ref="AQ12:AQ20" si="14">EU12+FB12</f>
        <v>0</v>
      </c>
      <c r="AR12" s="511">
        <f t="shared" ref="AR12:AR20" si="15">AP12-AQ12</f>
        <v>0</v>
      </c>
      <c r="AS12" s="511">
        <f>HLOOKUP($C$1,'Inflation Adjustments'!$BI$3:$BT$4,2)*CR12</f>
        <v>0</v>
      </c>
      <c r="AT12" s="511">
        <f>IF(BU12="In Service",'Maintenace Cost Assumptions'!$B$3*AS12,0)</f>
        <v>0</v>
      </c>
      <c r="AU12" s="318"/>
      <c r="AV12" s="318"/>
      <c r="AW12" s="318"/>
      <c r="AX12" s="318"/>
      <c r="AY12" s="318"/>
      <c r="AZ12" s="318"/>
      <c r="BA12" s="318"/>
      <c r="BB12" s="318"/>
      <c r="BC12" s="318"/>
      <c r="BD12" s="318"/>
      <c r="BE12" s="318"/>
      <c r="BF12" s="318"/>
      <c r="BG12" s="332">
        <f>(AU12*'Condition rating weights'!H$8+AV12*'Condition rating weights'!I$8+AW12*'Condition rating weights'!J$8+AX12*'Condition rating weights'!K$8+AY12*'Condition rating weights'!L$8+AZ12*'Condition rating weights'!M$8+BA12*'Condition rating weights'!N$8+BB12*'Condition rating weights'!O$8+BC12*'Condition rating weights'!P$8+BD12*'Condition rating weights'!Q$8+BE12*'Condition rating weights'!R$8+BF12*'Condition rating weights'!S$8)/100</f>
        <v>0</v>
      </c>
      <c r="BH12" s="333"/>
      <c r="BI12" s="333"/>
      <c r="BJ12" s="333"/>
      <c r="BK12" s="333"/>
      <c r="BL12" s="333"/>
      <c r="BM12" s="333"/>
      <c r="BN12" s="333"/>
      <c r="BO12" s="333"/>
      <c r="BP12" s="333"/>
      <c r="BQ12" s="333"/>
      <c r="BR12" s="333"/>
      <c r="BS12" s="333"/>
      <c r="BT12" s="334"/>
      <c r="BU12" s="335"/>
      <c r="BV12" s="255"/>
      <c r="BY12" s="376" t="str">
        <f>'GRC and TUL Assumptions'!A12</f>
        <v>Services Electrical</v>
      </c>
      <c r="BZ12" s="373">
        <f>'GRC and TUL Assumptions'!C12</f>
        <v>80</v>
      </c>
      <c r="CA12" s="373">
        <f>'GRC and TUL Assumptions'!D12</f>
        <v>100</v>
      </c>
      <c r="CB12" s="373">
        <f>'GRC and TUL Assumptions'!E12</f>
        <v>150</v>
      </c>
      <c r="CC12" s="373">
        <v>0</v>
      </c>
      <c r="CD12" s="373">
        <f>'GRC and TUL Assumptions'!F12</f>
        <v>20</v>
      </c>
      <c r="CE12" s="373">
        <f>'GRC and TUL Assumptions'!G12</f>
        <v>30</v>
      </c>
      <c r="CF12" s="373">
        <f>'GRC and TUL Assumptions'!H12</f>
        <v>40</v>
      </c>
      <c r="CG12" s="373">
        <f t="shared" si="8"/>
        <v>20</v>
      </c>
      <c r="CH12" s="378"/>
      <c r="CI12" s="378"/>
      <c r="CJ12" s="378"/>
      <c r="CK12" s="378"/>
      <c r="CL12" s="378"/>
      <c r="CM12" s="378"/>
      <c r="CN12" s="378"/>
      <c r="CO12" s="378"/>
      <c r="CP12" s="378"/>
      <c r="CQ12" s="378"/>
      <c r="CR12" s="354"/>
      <c r="CS12" s="379"/>
      <c r="CT12" s="379"/>
      <c r="CU12" s="379"/>
      <c r="CV12" s="379"/>
      <c r="CW12" s="379"/>
      <c r="CX12" s="379"/>
      <c r="CY12" s="379"/>
      <c r="CZ12" s="379"/>
      <c r="DA12" s="379"/>
      <c r="DB12" s="379"/>
      <c r="DC12" s="379"/>
      <c r="DD12" s="354"/>
      <c r="DE12" s="378"/>
      <c r="DF12" s="378"/>
      <c r="DG12" s="378"/>
      <c r="DH12" s="378"/>
      <c r="DI12" s="378"/>
      <c r="DJ12" s="378"/>
      <c r="DK12" s="378"/>
      <c r="DL12" s="378"/>
      <c r="DM12" s="378"/>
      <c r="DN12" s="378"/>
      <c r="DO12" s="380"/>
      <c r="DP12" s="380"/>
      <c r="DQ12" s="380"/>
      <c r="DR12" s="380"/>
      <c r="DS12" s="380"/>
      <c r="DT12" s="380"/>
      <c r="DU12" s="380"/>
      <c r="DV12" s="380"/>
      <c r="DW12" s="380"/>
      <c r="DX12" s="380"/>
      <c r="DY12" s="380"/>
      <c r="DZ12" s="378"/>
      <c r="EA12" s="378"/>
      <c r="EB12" s="378"/>
      <c r="EC12" s="378"/>
      <c r="ED12" s="378"/>
      <c r="EE12" s="378"/>
      <c r="EF12" s="378"/>
      <c r="EG12" s="378"/>
      <c r="EH12" s="378"/>
      <c r="EI12" s="378"/>
      <c r="EJ12" s="354"/>
      <c r="EK12" s="380"/>
      <c r="EL12" s="380"/>
      <c r="EM12" s="380"/>
      <c r="EN12" s="380"/>
      <c r="EO12" s="380"/>
      <c r="EP12" s="380"/>
      <c r="EQ12" s="380"/>
      <c r="ER12" s="380"/>
      <c r="ES12" s="380"/>
      <c r="ET12" s="380"/>
      <c r="EU12" s="379"/>
      <c r="EV12" s="382"/>
      <c r="EW12" s="382"/>
      <c r="EX12" s="382"/>
      <c r="EY12" s="382"/>
      <c r="EZ12" s="382"/>
      <c r="FA12" s="382"/>
      <c r="FB12" s="382"/>
      <c r="FD12" s="630"/>
      <c r="FE12" s="630" t="s">
        <v>1657</v>
      </c>
      <c r="FF12" s="630"/>
      <c r="FG12" s="630"/>
      <c r="FH12" s="630"/>
    </row>
    <row r="13" spans="1:165" ht="35" customHeight="1" x14ac:dyDescent="0.3">
      <c r="A13" s="330"/>
      <c r="B13" s="318"/>
      <c r="C13" s="318"/>
      <c r="D13" s="318"/>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7"/>
      <c r="AN13" s="318"/>
      <c r="AO13" s="511" t="e">
        <f t="shared" si="12"/>
        <v>#N/A</v>
      </c>
      <c r="AP13" s="511" t="e">
        <f t="shared" si="13"/>
        <v>#N/A</v>
      </c>
      <c r="AQ13" s="511" t="e">
        <f t="shared" si="14"/>
        <v>#N/A</v>
      </c>
      <c r="AR13" s="511" t="e">
        <f t="shared" si="15"/>
        <v>#N/A</v>
      </c>
      <c r="AS13" s="511" t="e">
        <f>HLOOKUP($C$1,'Inflation Adjustments'!$BI$3:$BT$4,2)*CR13</f>
        <v>#N/A</v>
      </c>
      <c r="AT13" s="511">
        <f>IF(BU13="In Service",'Maintenace Cost Assumptions'!$B$3*AS13,0)</f>
        <v>0</v>
      </c>
      <c r="AU13" s="318"/>
      <c r="AV13" s="318"/>
      <c r="AW13" s="318"/>
      <c r="AX13" s="318"/>
      <c r="AY13" s="318"/>
      <c r="AZ13" s="318"/>
      <c r="BA13" s="318"/>
      <c r="BB13" s="318"/>
      <c r="BC13" s="318"/>
      <c r="BD13" s="318"/>
      <c r="BE13" s="318"/>
      <c r="BF13" s="318"/>
      <c r="BG13" s="332">
        <f>(AU13*'Condition rating weights'!H$8+AV13*'Condition rating weights'!I$8+AW13*'Condition rating weights'!J$8+AX13*'Condition rating weights'!K$8+AY13*'Condition rating weights'!L$8+AZ13*'Condition rating weights'!M$8+BA13*'Condition rating weights'!N$8+BB13*'Condition rating weights'!O$8+BC13*'Condition rating weights'!P$8+BD13*'Condition rating weights'!Q$8+BE13*'Condition rating weights'!R$8+BF13*'Condition rating weights'!S$8)/100</f>
        <v>0</v>
      </c>
      <c r="BH13" s="333"/>
      <c r="BI13" s="333"/>
      <c r="BJ13" s="333"/>
      <c r="BK13" s="333"/>
      <c r="BL13" s="333"/>
      <c r="BM13" s="333"/>
      <c r="BN13" s="333"/>
      <c r="BO13" s="333"/>
      <c r="BP13" s="333"/>
      <c r="BQ13" s="333"/>
      <c r="BR13" s="333"/>
      <c r="BS13" s="333"/>
      <c r="BT13" s="334"/>
      <c r="BU13" s="335"/>
      <c r="BV13" s="255"/>
      <c r="BY13" s="376" t="str">
        <f>'GRC and TUL Assumptions'!A13</f>
        <v>Services Sanitation</v>
      </c>
      <c r="BZ13" s="373">
        <f>'GRC and TUL Assumptions'!C13</f>
        <v>100</v>
      </c>
      <c r="CA13" s="373">
        <f>'GRC and TUL Assumptions'!D13</f>
        <v>130</v>
      </c>
      <c r="CB13" s="373">
        <f>'GRC and TUL Assumptions'!E13</f>
        <v>150</v>
      </c>
      <c r="CC13" s="373">
        <v>0</v>
      </c>
      <c r="CD13" s="373">
        <f>'GRC and TUL Assumptions'!F13</f>
        <v>20</v>
      </c>
      <c r="CE13" s="373">
        <f>'GRC and TUL Assumptions'!G13</f>
        <v>30</v>
      </c>
      <c r="CF13" s="373">
        <f>'GRC and TUL Assumptions'!H13</f>
        <v>40</v>
      </c>
      <c r="CG13" s="373">
        <f t="shared" si="8"/>
        <v>20</v>
      </c>
      <c r="CH13" s="378" t="e">
        <f t="shared" ref="CH13:CH34" si="16">(HLOOKUP(T13,$BZ$4:$CC$14,2,TRUE))*$AE13</f>
        <v>#N/A</v>
      </c>
      <c r="CI13" s="378" t="e">
        <f t="shared" ref="CI13:CI34" si="17">(HLOOKUP(U13,$BZ$4:$CC$14,3,TRUE))*$AE13</f>
        <v>#N/A</v>
      </c>
      <c r="CJ13" s="378" t="e">
        <f t="shared" ref="CJ13:CJ34" si="18">(HLOOKUP(V13,$BZ$4:$CC$14,4,TRUE))*$AE13/BH13</f>
        <v>#N/A</v>
      </c>
      <c r="CK13" s="378" t="e">
        <f t="shared" ref="CK13:CK34" si="19">(HLOOKUP(W13,$BZ$4:$CC$14,5,TRUE))*$AE13</f>
        <v>#N/A</v>
      </c>
      <c r="CL13" s="378" t="e">
        <f t="shared" ref="CL13:CL34" si="20">(HLOOKUP(X13,$BZ$4:$CC$14,6,TRUE))*$AE13</f>
        <v>#N/A</v>
      </c>
      <c r="CM13" s="378" t="e">
        <f t="shared" ref="CM13:CM34" si="21">(HLOOKUP(Y13,$BZ$4:$CC$14,7,TRUE))*$AE13</f>
        <v>#N/A</v>
      </c>
      <c r="CN13" s="378" t="e">
        <f t="shared" ref="CN13:CN34" si="22">(HLOOKUP(Z13,$BZ$4:$CC$14,8,FALSE))*$AE13</f>
        <v>#N/A</v>
      </c>
      <c r="CO13" s="378" t="e">
        <f t="shared" ref="CO13:CO34" si="23">(HLOOKUP(AA13,$BZ$4:$CC$14,9,FALSE))*$AE13</f>
        <v>#N/A</v>
      </c>
      <c r="CP13" s="378" t="e">
        <f t="shared" ref="CP13:CP34" si="24">(HLOOKUP(AB13,$BZ$4:$CC$14,10,FALSE))*$AE13</f>
        <v>#N/A</v>
      </c>
      <c r="CQ13" s="378" t="e">
        <f t="shared" ref="CQ13:CQ34" si="25">(HLOOKUP(AC13,$BZ$4:$CC$14,11,FALSE))*$AE13</f>
        <v>#N/A</v>
      </c>
      <c r="CR13" s="354" t="e">
        <f t="shared" ref="CR13:CR22" si="26">SUM(CH13:CQ13)</f>
        <v>#N/A</v>
      </c>
      <c r="CS13" s="379" t="e">
        <f>(HLOOKUP($AI13,'Inflation Adjustments'!$B$3:$BT$4,2,TRUE))*CH13</f>
        <v>#N/A</v>
      </c>
      <c r="CT13" s="379" t="e">
        <f>(HLOOKUP($AI13,'Inflation Adjustments'!$B$3:$BT$4,2,TRUE))*CI13</f>
        <v>#N/A</v>
      </c>
      <c r="CU13" s="379" t="e">
        <f>(HLOOKUP($AI13,'Inflation Adjustments'!$B$3:$BT$4,2,TRUE))*CJ13</f>
        <v>#N/A</v>
      </c>
      <c r="CV13" s="379" t="e">
        <f>(HLOOKUP($AI13,'Inflation Adjustments'!$B$3:$BT$4,2,TRUE))*CK13</f>
        <v>#N/A</v>
      </c>
      <c r="CW13" s="379" t="e">
        <f>(HLOOKUP($AI13,'Inflation Adjustments'!$B$3:$BT$4,2,TRUE))*CL13</f>
        <v>#N/A</v>
      </c>
      <c r="CX13" s="379" t="e">
        <f>(HLOOKUP($AI13,'Inflation Adjustments'!$B$3:$BT$4,2,TRUE))*CM13</f>
        <v>#N/A</v>
      </c>
      <c r="CY13" s="379" t="e">
        <f>(HLOOKUP($AI13,'Inflation Adjustments'!$B$3:$BT$4,2,TRUE))*CN13</f>
        <v>#N/A</v>
      </c>
      <c r="CZ13" s="379" t="e">
        <f>(HLOOKUP($AI13,'Inflation Adjustments'!$B$3:$BT$4,2,TRUE))*CO13</f>
        <v>#N/A</v>
      </c>
      <c r="DA13" s="379" t="e">
        <f>(HLOOKUP($AI13,'Inflation Adjustments'!$B$3:$BT$4,2,TRUE))*CP13</f>
        <v>#N/A</v>
      </c>
      <c r="DB13" s="379" t="e">
        <f>(HLOOKUP($AI13,'Inflation Adjustments'!$B$3:$BT$4,2,TRUE))*CQ13</f>
        <v>#N/A</v>
      </c>
      <c r="DC13" s="379" t="e">
        <f t="shared" ref="DC13:DC34" si="27">SUM(CS13:DB13)</f>
        <v>#N/A</v>
      </c>
      <c r="DD13" s="354">
        <f t="shared" ref="DD13:DD34" si="28">IF(($C$1-AI13-1)&lt;0,0,$C$1-AI13-1)</f>
        <v>2022</v>
      </c>
      <c r="DE13" s="378" t="e">
        <f t="shared" ref="DE13:DE34" si="29">(HLOOKUP(T13,$CD$4:$CG$14,2,FALSE))</f>
        <v>#N/A</v>
      </c>
      <c r="DF13" s="378" t="e">
        <f t="shared" ref="DF13:DF34" si="30">(HLOOKUP(U13,$CD$4:$CG$14,3,FALSE))</f>
        <v>#N/A</v>
      </c>
      <c r="DG13" s="378" t="e">
        <f t="shared" ref="DG13:DG34" si="31">(HLOOKUP(V13,$CD$4:$CG$14,4,FALSE))</f>
        <v>#N/A</v>
      </c>
      <c r="DH13" s="378" t="e">
        <f t="shared" ref="DH13:DH34" si="32">(HLOOKUP(W13,$CD$4:$CG$14,5,FALSE))</f>
        <v>#N/A</v>
      </c>
      <c r="DI13" s="378" t="e">
        <f t="shared" ref="DI13:DI34" si="33">(HLOOKUP(X13,$CD$4:$CG$14,6,FALSE))</f>
        <v>#N/A</v>
      </c>
      <c r="DJ13" s="378" t="e">
        <f t="shared" ref="DJ13:DJ34" si="34">(HLOOKUP(Y13,$CD$4:$CG$14,7,FALSE))</f>
        <v>#N/A</v>
      </c>
      <c r="DK13" s="378" t="e">
        <f t="shared" ref="DK13:DL24" si="35">(HLOOKUP(Z13,$CD$4:$CG$14,8,FALSE))</f>
        <v>#N/A</v>
      </c>
      <c r="DL13" s="378" t="e">
        <f t="shared" si="35"/>
        <v>#N/A</v>
      </c>
      <c r="DM13" s="378" t="e">
        <f t="shared" ref="DM13:DM34" si="36">(HLOOKUP(AB13,$CD$4:$CG$14,9))</f>
        <v>#N/A</v>
      </c>
      <c r="DN13" s="378" t="e">
        <f t="shared" ref="DN13:DN34" si="37">(HLOOKUP(AC13,$CD$4:$CG$14,10))</f>
        <v>#N/A</v>
      </c>
      <c r="DO13" s="380" t="e">
        <f t="shared" ref="DO13:DX22" si="38">CS13/DE13</f>
        <v>#N/A</v>
      </c>
      <c r="DP13" s="380" t="e">
        <f t="shared" ref="DP13:DX20" si="39">CT13/DF13</f>
        <v>#N/A</v>
      </c>
      <c r="DQ13" s="380" t="e">
        <f t="shared" si="39"/>
        <v>#N/A</v>
      </c>
      <c r="DR13" s="380" t="e">
        <f t="shared" si="39"/>
        <v>#N/A</v>
      </c>
      <c r="DS13" s="380" t="e">
        <f t="shared" si="39"/>
        <v>#N/A</v>
      </c>
      <c r="DT13" s="380" t="e">
        <f t="shared" si="39"/>
        <v>#N/A</v>
      </c>
      <c r="DU13" s="380" t="e">
        <f t="shared" si="39"/>
        <v>#N/A</v>
      </c>
      <c r="DV13" s="380" t="e">
        <f t="shared" si="39"/>
        <v>#N/A</v>
      </c>
      <c r="DW13" s="380" t="e">
        <f t="shared" si="39"/>
        <v>#N/A</v>
      </c>
      <c r="DX13" s="380" t="e">
        <f t="shared" si="39"/>
        <v>#N/A</v>
      </c>
      <c r="DY13" s="380" t="e">
        <f t="shared" ref="DY13:DY22" si="40">SUM(DO13:DX13)</f>
        <v>#N/A</v>
      </c>
      <c r="DZ13" s="378" t="e">
        <f t="shared" ref="DZ13:EI22" si="41">IF(DO13*$DD13&gt;CS13,CS13,DO13*$DD13)</f>
        <v>#N/A</v>
      </c>
      <c r="EA13" s="378" t="e">
        <f t="shared" ref="EA13:EI20" si="42">IF(DP13*$DD13&gt;CT13,CT13,DP13*$DD13)</f>
        <v>#N/A</v>
      </c>
      <c r="EB13" s="378" t="e">
        <f t="shared" si="42"/>
        <v>#N/A</v>
      </c>
      <c r="EC13" s="378" t="e">
        <f t="shared" si="42"/>
        <v>#N/A</v>
      </c>
      <c r="ED13" s="378" t="e">
        <f t="shared" si="42"/>
        <v>#N/A</v>
      </c>
      <c r="EE13" s="378" t="e">
        <f t="shared" si="42"/>
        <v>#N/A</v>
      </c>
      <c r="EF13" s="378" t="e">
        <f t="shared" si="42"/>
        <v>#N/A</v>
      </c>
      <c r="EG13" s="378" t="e">
        <f t="shared" si="42"/>
        <v>#N/A</v>
      </c>
      <c r="EH13" s="378" t="e">
        <f t="shared" si="42"/>
        <v>#N/A</v>
      </c>
      <c r="EI13" s="378" t="e">
        <f t="shared" si="42"/>
        <v>#N/A</v>
      </c>
      <c r="EJ13" s="354" t="e">
        <f t="shared" ref="EJ13:EJ22" si="43">SUM(DZ13:EI13)</f>
        <v>#N/A</v>
      </c>
      <c r="EK13" s="380" t="e">
        <f t="shared" ref="EK13:ET22" si="44">IF(DO13&lt;(CS13-DZ13),DO13,(CS13-DZ13))</f>
        <v>#N/A</v>
      </c>
      <c r="EL13" s="380" t="e">
        <f t="shared" ref="EL13:ET20" si="45">IF(DP13&lt;(CT13-EA13),DP13,(CT13-EA13))</f>
        <v>#N/A</v>
      </c>
      <c r="EM13" s="380" t="e">
        <f t="shared" si="45"/>
        <v>#N/A</v>
      </c>
      <c r="EN13" s="380" t="e">
        <f t="shared" si="45"/>
        <v>#N/A</v>
      </c>
      <c r="EO13" s="380" t="e">
        <f t="shared" si="45"/>
        <v>#N/A</v>
      </c>
      <c r="EP13" s="380" t="e">
        <f t="shared" si="45"/>
        <v>#N/A</v>
      </c>
      <c r="EQ13" s="380" t="e">
        <f t="shared" si="45"/>
        <v>#N/A</v>
      </c>
      <c r="ER13" s="380" t="e">
        <f t="shared" si="45"/>
        <v>#N/A</v>
      </c>
      <c r="ES13" s="380" t="e">
        <f t="shared" si="45"/>
        <v>#N/A</v>
      </c>
      <c r="ET13" s="380" t="e">
        <f t="shared" si="45"/>
        <v>#N/A</v>
      </c>
      <c r="EU13" s="379" t="e">
        <f t="shared" ref="EU13:EU22" si="46">SUM(EK13:ET13)</f>
        <v>#N/A</v>
      </c>
      <c r="EV13" s="382"/>
      <c r="EW13" s="382"/>
      <c r="EX13" s="382"/>
      <c r="EY13" s="382"/>
      <c r="EZ13" s="382"/>
      <c r="FA13" s="382"/>
      <c r="FB13" s="382"/>
      <c r="FD13" s="630" t="s">
        <v>1661</v>
      </c>
      <c r="FE13" s="630"/>
      <c r="FF13" s="630"/>
      <c r="FG13" s="630"/>
      <c r="FH13" s="630"/>
    </row>
    <row r="14" spans="1:165" ht="35" customHeight="1" x14ac:dyDescent="0.3">
      <c r="A14" s="330"/>
      <c r="B14" s="318"/>
      <c r="C14" s="318"/>
      <c r="D14" s="318"/>
      <c r="E14" s="318"/>
      <c r="F14" s="318"/>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7"/>
      <c r="AN14" s="318"/>
      <c r="AO14" s="511" t="e">
        <f t="shared" si="12"/>
        <v>#N/A</v>
      </c>
      <c r="AP14" s="511" t="e">
        <f t="shared" si="13"/>
        <v>#N/A</v>
      </c>
      <c r="AQ14" s="511" t="e">
        <f t="shared" si="14"/>
        <v>#N/A</v>
      </c>
      <c r="AR14" s="511" t="e">
        <f t="shared" si="15"/>
        <v>#N/A</v>
      </c>
      <c r="AS14" s="511" t="e">
        <f>HLOOKUP($C$1,'Inflation Adjustments'!$BI$3:$BT$4,2)*CR14</f>
        <v>#N/A</v>
      </c>
      <c r="AT14" s="511">
        <f>IF(BU14="In Service",'Maintenace Cost Assumptions'!$B$3*AS14,0)</f>
        <v>0</v>
      </c>
      <c r="AU14" s="318"/>
      <c r="AV14" s="318"/>
      <c r="AW14" s="318"/>
      <c r="AX14" s="318"/>
      <c r="AY14" s="318"/>
      <c r="AZ14" s="318"/>
      <c r="BA14" s="318"/>
      <c r="BB14" s="318"/>
      <c r="BC14" s="318"/>
      <c r="BD14" s="318"/>
      <c r="BE14" s="318"/>
      <c r="BF14" s="318"/>
      <c r="BG14" s="332">
        <f>(AU14*'Condition rating weights'!H$8+AV14*'Condition rating weights'!I$8+AW14*'Condition rating weights'!J$8+AX14*'Condition rating weights'!K$8+AY14*'Condition rating weights'!L$8+AZ14*'Condition rating weights'!M$8+BA14*'Condition rating weights'!N$8+BB14*'Condition rating weights'!O$8+BC14*'Condition rating weights'!P$8+BD14*'Condition rating weights'!Q$8+BE14*'Condition rating weights'!R$8+BF14*'Condition rating weights'!S$8)/100</f>
        <v>0</v>
      </c>
      <c r="BH14" s="333"/>
      <c r="BI14" s="333"/>
      <c r="BJ14" s="333"/>
      <c r="BK14" s="333"/>
      <c r="BL14" s="333"/>
      <c r="BM14" s="333"/>
      <c r="BN14" s="333"/>
      <c r="BO14" s="333"/>
      <c r="BP14" s="333"/>
      <c r="BQ14" s="333"/>
      <c r="BR14" s="333"/>
      <c r="BS14" s="333"/>
      <c r="BT14" s="334"/>
      <c r="BU14" s="335"/>
      <c r="BV14" s="255"/>
      <c r="BY14" s="376" t="str">
        <f>'GRC and TUL Assumptions'!A14</f>
        <v>Services Water</v>
      </c>
      <c r="BZ14" s="373">
        <f>'GRC and TUL Assumptions'!C14</f>
        <v>20</v>
      </c>
      <c r="CA14" s="373">
        <f>'GRC and TUL Assumptions'!D14</f>
        <v>40</v>
      </c>
      <c r="CB14" s="373">
        <f>'GRC and TUL Assumptions'!E14</f>
        <v>70</v>
      </c>
      <c r="CC14" s="373">
        <v>0</v>
      </c>
      <c r="CD14" s="373">
        <f>'GRC and TUL Assumptions'!F14</f>
        <v>20</v>
      </c>
      <c r="CE14" s="373">
        <f>'GRC and TUL Assumptions'!G14</f>
        <v>30</v>
      </c>
      <c r="CF14" s="373">
        <f>'GRC and TUL Assumptions'!H14</f>
        <v>40</v>
      </c>
      <c r="CG14" s="373">
        <f t="shared" si="8"/>
        <v>20</v>
      </c>
      <c r="CH14" s="378" t="e">
        <f t="shared" si="16"/>
        <v>#N/A</v>
      </c>
      <c r="CI14" s="378" t="e">
        <f t="shared" si="17"/>
        <v>#N/A</v>
      </c>
      <c r="CJ14" s="378" t="e">
        <f t="shared" si="18"/>
        <v>#N/A</v>
      </c>
      <c r="CK14" s="378" t="e">
        <f t="shared" si="19"/>
        <v>#N/A</v>
      </c>
      <c r="CL14" s="378" t="e">
        <f t="shared" si="20"/>
        <v>#N/A</v>
      </c>
      <c r="CM14" s="378" t="e">
        <f t="shared" si="21"/>
        <v>#N/A</v>
      </c>
      <c r="CN14" s="378" t="e">
        <f t="shared" si="22"/>
        <v>#N/A</v>
      </c>
      <c r="CO14" s="378" t="e">
        <f t="shared" si="23"/>
        <v>#N/A</v>
      </c>
      <c r="CP14" s="378" t="e">
        <f t="shared" si="24"/>
        <v>#N/A</v>
      </c>
      <c r="CQ14" s="378" t="e">
        <f t="shared" si="25"/>
        <v>#N/A</v>
      </c>
      <c r="CR14" s="354" t="e">
        <f t="shared" si="26"/>
        <v>#N/A</v>
      </c>
      <c r="CS14" s="379" t="e">
        <f>(HLOOKUP($AI14,'Inflation Adjustments'!$B$3:$BT$4,2,TRUE))*CH14</f>
        <v>#N/A</v>
      </c>
      <c r="CT14" s="379" t="e">
        <f>(HLOOKUP($AI14,'Inflation Adjustments'!$B$3:$BT$4,2,TRUE))*CI14</f>
        <v>#N/A</v>
      </c>
      <c r="CU14" s="379" t="e">
        <f>(HLOOKUP($AI14,'Inflation Adjustments'!$B$3:$BT$4,2,TRUE))*CJ14</f>
        <v>#N/A</v>
      </c>
      <c r="CV14" s="379" t="e">
        <f>(HLOOKUP($AI14,'Inflation Adjustments'!$B$3:$BT$4,2,TRUE))*CK14</f>
        <v>#N/A</v>
      </c>
      <c r="CW14" s="379" t="e">
        <f>(HLOOKUP($AI14,'Inflation Adjustments'!$B$3:$BT$4,2,TRUE))*CL14</f>
        <v>#N/A</v>
      </c>
      <c r="CX14" s="379" t="e">
        <f>(HLOOKUP($AI14,'Inflation Adjustments'!$B$3:$BT$4,2,TRUE))*CM14</f>
        <v>#N/A</v>
      </c>
      <c r="CY14" s="379" t="e">
        <f>(HLOOKUP($AI14,'Inflation Adjustments'!$B$3:$BT$4,2,TRUE))*CN14</f>
        <v>#N/A</v>
      </c>
      <c r="CZ14" s="379" t="e">
        <f>(HLOOKUP($AI14,'Inflation Adjustments'!$B$3:$BT$4,2,TRUE))*CO14</f>
        <v>#N/A</v>
      </c>
      <c r="DA14" s="379" t="e">
        <f>(HLOOKUP($AI14,'Inflation Adjustments'!$B$3:$BT$4,2,TRUE))*CP14</f>
        <v>#N/A</v>
      </c>
      <c r="DB14" s="379" t="e">
        <f>(HLOOKUP($AI14,'Inflation Adjustments'!$B$3:$BT$4,2,TRUE))*CQ14</f>
        <v>#N/A</v>
      </c>
      <c r="DC14" s="379" t="e">
        <f t="shared" si="27"/>
        <v>#N/A</v>
      </c>
      <c r="DD14" s="354">
        <f t="shared" si="28"/>
        <v>2022</v>
      </c>
      <c r="DE14" s="378" t="e">
        <f t="shared" si="29"/>
        <v>#N/A</v>
      </c>
      <c r="DF14" s="378" t="e">
        <f t="shared" si="30"/>
        <v>#N/A</v>
      </c>
      <c r="DG14" s="378" t="e">
        <f t="shared" si="31"/>
        <v>#N/A</v>
      </c>
      <c r="DH14" s="378" t="e">
        <f t="shared" si="32"/>
        <v>#N/A</v>
      </c>
      <c r="DI14" s="378" t="e">
        <f t="shared" si="33"/>
        <v>#N/A</v>
      </c>
      <c r="DJ14" s="378" t="e">
        <f t="shared" si="34"/>
        <v>#N/A</v>
      </c>
      <c r="DK14" s="378" t="e">
        <f t="shared" si="35"/>
        <v>#N/A</v>
      </c>
      <c r="DL14" s="378" t="e">
        <f t="shared" si="35"/>
        <v>#N/A</v>
      </c>
      <c r="DM14" s="378" t="e">
        <f t="shared" si="36"/>
        <v>#N/A</v>
      </c>
      <c r="DN14" s="378" t="e">
        <f t="shared" si="37"/>
        <v>#N/A</v>
      </c>
      <c r="DO14" s="380" t="e">
        <f t="shared" si="38"/>
        <v>#N/A</v>
      </c>
      <c r="DP14" s="380" t="e">
        <f t="shared" si="39"/>
        <v>#N/A</v>
      </c>
      <c r="DQ14" s="380" t="e">
        <f t="shared" si="39"/>
        <v>#N/A</v>
      </c>
      <c r="DR14" s="380" t="e">
        <f t="shared" si="39"/>
        <v>#N/A</v>
      </c>
      <c r="DS14" s="380" t="e">
        <f t="shared" si="39"/>
        <v>#N/A</v>
      </c>
      <c r="DT14" s="380" t="e">
        <f t="shared" si="39"/>
        <v>#N/A</v>
      </c>
      <c r="DU14" s="380" t="e">
        <f t="shared" si="39"/>
        <v>#N/A</v>
      </c>
      <c r="DV14" s="380" t="e">
        <f t="shared" si="39"/>
        <v>#N/A</v>
      </c>
      <c r="DW14" s="380" t="e">
        <f t="shared" si="39"/>
        <v>#N/A</v>
      </c>
      <c r="DX14" s="380" t="e">
        <f t="shared" si="39"/>
        <v>#N/A</v>
      </c>
      <c r="DY14" s="380" t="e">
        <f t="shared" si="40"/>
        <v>#N/A</v>
      </c>
      <c r="DZ14" s="378" t="e">
        <f t="shared" si="41"/>
        <v>#N/A</v>
      </c>
      <c r="EA14" s="378" t="e">
        <f t="shared" si="42"/>
        <v>#N/A</v>
      </c>
      <c r="EB14" s="378" t="e">
        <f t="shared" si="42"/>
        <v>#N/A</v>
      </c>
      <c r="EC14" s="378" t="e">
        <f t="shared" si="42"/>
        <v>#N/A</v>
      </c>
      <c r="ED14" s="378" t="e">
        <f t="shared" si="42"/>
        <v>#N/A</v>
      </c>
      <c r="EE14" s="378" t="e">
        <f t="shared" si="42"/>
        <v>#N/A</v>
      </c>
      <c r="EF14" s="378" t="e">
        <f t="shared" si="42"/>
        <v>#N/A</v>
      </c>
      <c r="EG14" s="378" t="e">
        <f t="shared" si="42"/>
        <v>#N/A</v>
      </c>
      <c r="EH14" s="378" t="e">
        <f t="shared" si="42"/>
        <v>#N/A</v>
      </c>
      <c r="EI14" s="378" t="e">
        <f t="shared" si="42"/>
        <v>#N/A</v>
      </c>
      <c r="EJ14" s="354" t="e">
        <f t="shared" si="43"/>
        <v>#N/A</v>
      </c>
      <c r="EK14" s="380" t="e">
        <f t="shared" si="44"/>
        <v>#N/A</v>
      </c>
      <c r="EL14" s="380" t="e">
        <f t="shared" si="45"/>
        <v>#N/A</v>
      </c>
      <c r="EM14" s="380" t="e">
        <f t="shared" si="45"/>
        <v>#N/A</v>
      </c>
      <c r="EN14" s="380" t="e">
        <f t="shared" si="45"/>
        <v>#N/A</v>
      </c>
      <c r="EO14" s="380" t="e">
        <f t="shared" si="45"/>
        <v>#N/A</v>
      </c>
      <c r="EP14" s="380" t="e">
        <f t="shared" si="45"/>
        <v>#N/A</v>
      </c>
      <c r="EQ14" s="380" t="e">
        <f t="shared" si="45"/>
        <v>#N/A</v>
      </c>
      <c r="ER14" s="380" t="e">
        <f t="shared" si="45"/>
        <v>#N/A</v>
      </c>
      <c r="ES14" s="380" t="e">
        <f t="shared" si="45"/>
        <v>#N/A</v>
      </c>
      <c r="ET14" s="380" t="e">
        <f t="shared" si="45"/>
        <v>#N/A</v>
      </c>
      <c r="EU14" s="379" t="e">
        <f t="shared" si="46"/>
        <v>#N/A</v>
      </c>
      <c r="EV14" s="382"/>
      <c r="EW14" s="382"/>
      <c r="EX14" s="382"/>
      <c r="EY14" s="382"/>
      <c r="EZ14" s="382"/>
      <c r="FA14" s="382"/>
      <c r="FB14" s="382"/>
      <c r="FD14" s="583" t="s">
        <v>1655</v>
      </c>
      <c r="FE14" s="583"/>
      <c r="FF14" s="583"/>
      <c r="FG14" s="583"/>
      <c r="FH14" s="583"/>
      <c r="FI14" s="91" t="s">
        <v>1654</v>
      </c>
    </row>
    <row r="15" spans="1:165" ht="35" customHeight="1" x14ac:dyDescent="0.3">
      <c r="A15" s="330"/>
      <c r="B15" s="318"/>
      <c r="C15" s="318"/>
      <c r="D15" s="318"/>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7"/>
      <c r="AN15" s="318"/>
      <c r="AO15" s="511" t="e">
        <f t="shared" si="12"/>
        <v>#N/A</v>
      </c>
      <c r="AP15" s="511" t="e">
        <f t="shared" si="13"/>
        <v>#N/A</v>
      </c>
      <c r="AQ15" s="511" t="e">
        <f t="shared" si="14"/>
        <v>#N/A</v>
      </c>
      <c r="AR15" s="511" t="e">
        <f t="shared" si="15"/>
        <v>#N/A</v>
      </c>
      <c r="AS15" s="511" t="e">
        <f>HLOOKUP($C$1,'Inflation Adjustments'!$BI$3:$BT$4,2)*CR15</f>
        <v>#N/A</v>
      </c>
      <c r="AT15" s="511">
        <f>IF(BU15="In Service",'Maintenace Cost Assumptions'!$B$3*AS15,0)</f>
        <v>0</v>
      </c>
      <c r="AU15" s="318"/>
      <c r="AV15" s="318"/>
      <c r="AW15" s="318"/>
      <c r="AX15" s="318"/>
      <c r="AY15" s="318"/>
      <c r="AZ15" s="318"/>
      <c r="BA15" s="318"/>
      <c r="BB15" s="318"/>
      <c r="BC15" s="318"/>
      <c r="BD15" s="318"/>
      <c r="BE15" s="318"/>
      <c r="BF15" s="318"/>
      <c r="BG15" s="332">
        <f>(AU15*'Condition rating weights'!H$8+AV15*'Condition rating weights'!I$8+AW15*'Condition rating weights'!J$8+AX15*'Condition rating weights'!K$8+AY15*'Condition rating weights'!L$8+AZ15*'Condition rating weights'!M$8+BA15*'Condition rating weights'!N$8+BB15*'Condition rating weights'!O$8+BC15*'Condition rating weights'!P$8+BD15*'Condition rating weights'!Q$8+BE15*'Condition rating weights'!R$8+BF15*'Condition rating weights'!S$8)/100</f>
        <v>0</v>
      </c>
      <c r="BH15" s="333"/>
      <c r="BI15" s="333"/>
      <c r="BJ15" s="333"/>
      <c r="BK15" s="333"/>
      <c r="BL15" s="333"/>
      <c r="BM15" s="333"/>
      <c r="BN15" s="333"/>
      <c r="BO15" s="333"/>
      <c r="BP15" s="333"/>
      <c r="BQ15" s="333"/>
      <c r="BR15" s="333"/>
      <c r="BS15" s="333"/>
      <c r="BT15" s="334"/>
      <c r="BU15" s="335"/>
      <c r="BV15" s="255"/>
      <c r="BY15" s="144"/>
      <c r="BZ15" s="144"/>
      <c r="CA15" s="144"/>
      <c r="CB15" s="144"/>
      <c r="CC15" s="144"/>
      <c r="CD15" s="365"/>
      <c r="CE15" s="144"/>
      <c r="CF15" s="144"/>
      <c r="CG15" s="144"/>
      <c r="CH15" s="378" t="e">
        <f t="shared" si="16"/>
        <v>#N/A</v>
      </c>
      <c r="CI15" s="378" t="e">
        <f t="shared" si="17"/>
        <v>#N/A</v>
      </c>
      <c r="CJ15" s="378" t="e">
        <f t="shared" si="18"/>
        <v>#N/A</v>
      </c>
      <c r="CK15" s="378" t="e">
        <f t="shared" si="19"/>
        <v>#N/A</v>
      </c>
      <c r="CL15" s="378" t="e">
        <f t="shared" si="20"/>
        <v>#N/A</v>
      </c>
      <c r="CM15" s="378" t="e">
        <f t="shared" si="21"/>
        <v>#N/A</v>
      </c>
      <c r="CN15" s="378" t="e">
        <f t="shared" si="22"/>
        <v>#N/A</v>
      </c>
      <c r="CO15" s="378" t="e">
        <f t="shared" si="23"/>
        <v>#N/A</v>
      </c>
      <c r="CP15" s="378" t="e">
        <f t="shared" si="24"/>
        <v>#N/A</v>
      </c>
      <c r="CQ15" s="378" t="e">
        <f t="shared" si="25"/>
        <v>#N/A</v>
      </c>
      <c r="CR15" s="354" t="e">
        <f t="shared" si="26"/>
        <v>#N/A</v>
      </c>
      <c r="CS15" s="379" t="e">
        <f>(HLOOKUP($AI15,'Inflation Adjustments'!$B$3:$BT$4,2,TRUE))*CH15</f>
        <v>#N/A</v>
      </c>
      <c r="CT15" s="379" t="e">
        <f>(HLOOKUP($AI15,'Inflation Adjustments'!$B$3:$BT$4,2,TRUE))*CI15</f>
        <v>#N/A</v>
      </c>
      <c r="CU15" s="379" t="e">
        <f>(HLOOKUP($AI15,'Inflation Adjustments'!$B$3:$BT$4,2,TRUE))*CJ15</f>
        <v>#N/A</v>
      </c>
      <c r="CV15" s="379" t="e">
        <f>(HLOOKUP($AI15,'Inflation Adjustments'!$B$3:$BT$4,2,TRUE))*CK15</f>
        <v>#N/A</v>
      </c>
      <c r="CW15" s="379" t="e">
        <f>(HLOOKUP($AI15,'Inflation Adjustments'!$B$3:$BT$4,2,TRUE))*CL15</f>
        <v>#N/A</v>
      </c>
      <c r="CX15" s="379" t="e">
        <f>(HLOOKUP($AI15,'Inflation Adjustments'!$B$3:$BT$4,2,TRUE))*CM15</f>
        <v>#N/A</v>
      </c>
      <c r="CY15" s="379" t="e">
        <f>(HLOOKUP($AI15,'Inflation Adjustments'!$B$3:$BT$4,2,TRUE))*CN15</f>
        <v>#N/A</v>
      </c>
      <c r="CZ15" s="379" t="e">
        <f>(HLOOKUP($AI15,'Inflation Adjustments'!$B$3:$BT$4,2,TRUE))*CO15</f>
        <v>#N/A</v>
      </c>
      <c r="DA15" s="379" t="e">
        <f>(HLOOKUP($AI15,'Inflation Adjustments'!$B$3:$BT$4,2,TRUE))*CP15</f>
        <v>#N/A</v>
      </c>
      <c r="DB15" s="379" t="e">
        <f>(HLOOKUP($AI15,'Inflation Adjustments'!$B$3:$BT$4,2,TRUE))*CQ15</f>
        <v>#N/A</v>
      </c>
      <c r="DC15" s="379" t="e">
        <f t="shared" si="27"/>
        <v>#N/A</v>
      </c>
      <c r="DD15" s="354">
        <f t="shared" si="28"/>
        <v>2022</v>
      </c>
      <c r="DE15" s="378" t="e">
        <f t="shared" si="29"/>
        <v>#N/A</v>
      </c>
      <c r="DF15" s="378" t="e">
        <f t="shared" si="30"/>
        <v>#N/A</v>
      </c>
      <c r="DG15" s="378" t="e">
        <f t="shared" si="31"/>
        <v>#N/A</v>
      </c>
      <c r="DH15" s="378" t="e">
        <f t="shared" si="32"/>
        <v>#N/A</v>
      </c>
      <c r="DI15" s="378" t="e">
        <f t="shared" si="33"/>
        <v>#N/A</v>
      </c>
      <c r="DJ15" s="378" t="e">
        <f t="shared" si="34"/>
        <v>#N/A</v>
      </c>
      <c r="DK15" s="378" t="e">
        <f t="shared" si="35"/>
        <v>#N/A</v>
      </c>
      <c r="DL15" s="378" t="e">
        <f t="shared" si="35"/>
        <v>#N/A</v>
      </c>
      <c r="DM15" s="378" t="e">
        <f t="shared" si="36"/>
        <v>#N/A</v>
      </c>
      <c r="DN15" s="378" t="e">
        <f t="shared" si="37"/>
        <v>#N/A</v>
      </c>
      <c r="DO15" s="380" t="e">
        <f t="shared" si="38"/>
        <v>#N/A</v>
      </c>
      <c r="DP15" s="380" t="e">
        <f t="shared" si="39"/>
        <v>#N/A</v>
      </c>
      <c r="DQ15" s="380" t="e">
        <f t="shared" si="39"/>
        <v>#N/A</v>
      </c>
      <c r="DR15" s="380" t="e">
        <f t="shared" si="39"/>
        <v>#N/A</v>
      </c>
      <c r="DS15" s="380" t="e">
        <f t="shared" si="39"/>
        <v>#N/A</v>
      </c>
      <c r="DT15" s="380" t="e">
        <f t="shared" si="39"/>
        <v>#N/A</v>
      </c>
      <c r="DU15" s="380" t="e">
        <f t="shared" si="39"/>
        <v>#N/A</v>
      </c>
      <c r="DV15" s="380" t="e">
        <f t="shared" si="39"/>
        <v>#N/A</v>
      </c>
      <c r="DW15" s="380" t="e">
        <f t="shared" si="39"/>
        <v>#N/A</v>
      </c>
      <c r="DX15" s="380" t="e">
        <f t="shared" si="39"/>
        <v>#N/A</v>
      </c>
      <c r="DY15" s="380" t="e">
        <f t="shared" si="40"/>
        <v>#N/A</v>
      </c>
      <c r="DZ15" s="378" t="e">
        <f t="shared" si="41"/>
        <v>#N/A</v>
      </c>
      <c r="EA15" s="378" t="e">
        <f t="shared" si="42"/>
        <v>#N/A</v>
      </c>
      <c r="EB15" s="378" t="e">
        <f t="shared" si="42"/>
        <v>#N/A</v>
      </c>
      <c r="EC15" s="378" t="e">
        <f t="shared" si="42"/>
        <v>#N/A</v>
      </c>
      <c r="ED15" s="378" t="e">
        <f t="shared" si="42"/>
        <v>#N/A</v>
      </c>
      <c r="EE15" s="378" t="e">
        <f t="shared" si="42"/>
        <v>#N/A</v>
      </c>
      <c r="EF15" s="378" t="e">
        <f t="shared" si="42"/>
        <v>#N/A</v>
      </c>
      <c r="EG15" s="378" t="e">
        <f t="shared" si="42"/>
        <v>#N/A</v>
      </c>
      <c r="EH15" s="378" t="e">
        <f t="shared" si="42"/>
        <v>#N/A</v>
      </c>
      <c r="EI15" s="378" t="e">
        <f t="shared" si="42"/>
        <v>#N/A</v>
      </c>
      <c r="EJ15" s="354" t="e">
        <f t="shared" si="43"/>
        <v>#N/A</v>
      </c>
      <c r="EK15" s="380" t="e">
        <f t="shared" si="44"/>
        <v>#N/A</v>
      </c>
      <c r="EL15" s="380" t="e">
        <f t="shared" si="45"/>
        <v>#N/A</v>
      </c>
      <c r="EM15" s="380" t="e">
        <f t="shared" si="45"/>
        <v>#N/A</v>
      </c>
      <c r="EN15" s="380" t="e">
        <f t="shared" si="45"/>
        <v>#N/A</v>
      </c>
      <c r="EO15" s="380" t="e">
        <f t="shared" si="45"/>
        <v>#N/A</v>
      </c>
      <c r="EP15" s="380" t="e">
        <f t="shared" si="45"/>
        <v>#N/A</v>
      </c>
      <c r="EQ15" s="380" t="e">
        <f t="shared" si="45"/>
        <v>#N/A</v>
      </c>
      <c r="ER15" s="380" t="e">
        <f t="shared" si="45"/>
        <v>#N/A</v>
      </c>
      <c r="ES15" s="380" t="e">
        <f t="shared" si="45"/>
        <v>#N/A</v>
      </c>
      <c r="ET15" s="380" t="e">
        <f t="shared" si="45"/>
        <v>#N/A</v>
      </c>
      <c r="EU15" s="379" t="e">
        <f t="shared" si="46"/>
        <v>#N/A</v>
      </c>
      <c r="EV15" s="382"/>
      <c r="EW15" s="382"/>
      <c r="EX15" s="382"/>
      <c r="EY15" s="382"/>
      <c r="EZ15" s="382"/>
      <c r="FA15" s="382"/>
      <c r="FB15" s="382"/>
      <c r="FD15" s="583" t="s">
        <v>1656</v>
      </c>
      <c r="FE15" s="583"/>
      <c r="FF15" s="583"/>
      <c r="FG15" s="583"/>
      <c r="FH15" s="583"/>
    </row>
    <row r="16" spans="1:165" ht="35" customHeight="1" x14ac:dyDescent="0.3">
      <c r="A16" s="330"/>
      <c r="B16" s="318"/>
      <c r="C16" s="318"/>
      <c r="D16" s="318"/>
      <c r="E16" s="318"/>
      <c r="F16" s="318"/>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18"/>
      <c r="AM16" s="317"/>
      <c r="AN16" s="318"/>
      <c r="AO16" s="511" t="e">
        <f t="shared" si="12"/>
        <v>#N/A</v>
      </c>
      <c r="AP16" s="511" t="e">
        <f t="shared" si="13"/>
        <v>#N/A</v>
      </c>
      <c r="AQ16" s="511" t="e">
        <f t="shared" si="14"/>
        <v>#N/A</v>
      </c>
      <c r="AR16" s="511" t="e">
        <f t="shared" si="15"/>
        <v>#N/A</v>
      </c>
      <c r="AS16" s="511" t="e">
        <f>HLOOKUP($C$1,'Inflation Adjustments'!$BI$3:$BT$4,2)*CR16</f>
        <v>#N/A</v>
      </c>
      <c r="AT16" s="511">
        <f>IF(BU16="In Service",'Maintenace Cost Assumptions'!$B$3*AS16,0)</f>
        <v>0</v>
      </c>
      <c r="AU16" s="318"/>
      <c r="AV16" s="318"/>
      <c r="AW16" s="318"/>
      <c r="AX16" s="318"/>
      <c r="AY16" s="318"/>
      <c r="AZ16" s="318"/>
      <c r="BA16" s="318"/>
      <c r="BB16" s="318"/>
      <c r="BC16" s="318"/>
      <c r="BD16" s="318"/>
      <c r="BE16" s="318"/>
      <c r="BF16" s="318"/>
      <c r="BG16" s="332">
        <f>(AU16*'Condition rating weights'!H$8+AV16*'Condition rating weights'!I$8+AW16*'Condition rating weights'!J$8+AX16*'Condition rating weights'!K$8+AY16*'Condition rating weights'!L$8+AZ16*'Condition rating weights'!M$8+BA16*'Condition rating weights'!N$8+BB16*'Condition rating weights'!O$8+BC16*'Condition rating weights'!P$8+BD16*'Condition rating weights'!Q$8+BE16*'Condition rating weights'!R$8+BF16*'Condition rating weights'!S$8)/100</f>
        <v>0</v>
      </c>
      <c r="BH16" s="333"/>
      <c r="BI16" s="333"/>
      <c r="BJ16" s="333"/>
      <c r="BK16" s="333"/>
      <c r="BL16" s="333"/>
      <c r="BM16" s="333"/>
      <c r="BN16" s="333"/>
      <c r="BO16" s="333"/>
      <c r="BP16" s="333"/>
      <c r="BQ16" s="333"/>
      <c r="BR16" s="333"/>
      <c r="BS16" s="333"/>
      <c r="BT16" s="334"/>
      <c r="BU16" s="335"/>
      <c r="BV16" s="255"/>
      <c r="BY16" s="144"/>
      <c r="BZ16" s="144"/>
      <c r="CA16" s="144"/>
      <c r="CB16" s="144"/>
      <c r="CC16" s="144"/>
      <c r="CD16" s="144"/>
      <c r="CE16" s="144"/>
      <c r="CF16" s="144"/>
      <c r="CG16" s="144"/>
      <c r="CH16" s="378" t="e">
        <f t="shared" si="16"/>
        <v>#N/A</v>
      </c>
      <c r="CI16" s="378" t="e">
        <f t="shared" si="17"/>
        <v>#N/A</v>
      </c>
      <c r="CJ16" s="378" t="e">
        <f t="shared" si="18"/>
        <v>#N/A</v>
      </c>
      <c r="CK16" s="378" t="e">
        <f t="shared" si="19"/>
        <v>#N/A</v>
      </c>
      <c r="CL16" s="378" t="e">
        <f t="shared" si="20"/>
        <v>#N/A</v>
      </c>
      <c r="CM16" s="378" t="e">
        <f t="shared" si="21"/>
        <v>#N/A</v>
      </c>
      <c r="CN16" s="378" t="e">
        <f t="shared" si="22"/>
        <v>#N/A</v>
      </c>
      <c r="CO16" s="378" t="e">
        <f t="shared" si="23"/>
        <v>#N/A</v>
      </c>
      <c r="CP16" s="378" t="e">
        <f t="shared" si="24"/>
        <v>#N/A</v>
      </c>
      <c r="CQ16" s="378" t="e">
        <f t="shared" si="25"/>
        <v>#N/A</v>
      </c>
      <c r="CR16" s="354" t="e">
        <f t="shared" si="26"/>
        <v>#N/A</v>
      </c>
      <c r="CS16" s="379" t="e">
        <f>(HLOOKUP($AI16,'Inflation Adjustments'!$B$3:$BT$4,2,TRUE))*CH16</f>
        <v>#N/A</v>
      </c>
      <c r="CT16" s="379" t="e">
        <f>(HLOOKUP($AI16,'Inflation Adjustments'!$B$3:$BT$4,2,TRUE))*CI16</f>
        <v>#N/A</v>
      </c>
      <c r="CU16" s="379" t="e">
        <f>(HLOOKUP($AI16,'Inflation Adjustments'!$B$3:$BT$4,2,TRUE))*CJ16</f>
        <v>#N/A</v>
      </c>
      <c r="CV16" s="379" t="e">
        <f>(HLOOKUP($AI16,'Inflation Adjustments'!$B$3:$BT$4,2,TRUE))*CK16</f>
        <v>#N/A</v>
      </c>
      <c r="CW16" s="379" t="e">
        <f>(HLOOKUP($AI16,'Inflation Adjustments'!$B$3:$BT$4,2,TRUE))*CL16</f>
        <v>#N/A</v>
      </c>
      <c r="CX16" s="379" t="e">
        <f>(HLOOKUP($AI16,'Inflation Adjustments'!$B$3:$BT$4,2,TRUE))*CM16</f>
        <v>#N/A</v>
      </c>
      <c r="CY16" s="379" t="e">
        <f>(HLOOKUP($AI16,'Inflation Adjustments'!$B$3:$BT$4,2,TRUE))*CN16</f>
        <v>#N/A</v>
      </c>
      <c r="CZ16" s="379" t="e">
        <f>(HLOOKUP($AI16,'Inflation Adjustments'!$B$3:$BT$4,2,TRUE))*CO16</f>
        <v>#N/A</v>
      </c>
      <c r="DA16" s="379" t="e">
        <f>(HLOOKUP($AI16,'Inflation Adjustments'!$B$3:$BT$4,2,TRUE))*CP16</f>
        <v>#N/A</v>
      </c>
      <c r="DB16" s="379" t="e">
        <f>(HLOOKUP($AI16,'Inflation Adjustments'!$B$3:$BT$4,2,TRUE))*CQ16</f>
        <v>#N/A</v>
      </c>
      <c r="DC16" s="379" t="e">
        <f t="shared" si="27"/>
        <v>#N/A</v>
      </c>
      <c r="DD16" s="354">
        <f t="shared" si="28"/>
        <v>2022</v>
      </c>
      <c r="DE16" s="378" t="e">
        <f t="shared" si="29"/>
        <v>#N/A</v>
      </c>
      <c r="DF16" s="378" t="e">
        <f t="shared" si="30"/>
        <v>#N/A</v>
      </c>
      <c r="DG16" s="378" t="e">
        <f t="shared" si="31"/>
        <v>#N/A</v>
      </c>
      <c r="DH16" s="378" t="e">
        <f t="shared" si="32"/>
        <v>#N/A</v>
      </c>
      <c r="DI16" s="378" t="e">
        <f t="shared" si="33"/>
        <v>#N/A</v>
      </c>
      <c r="DJ16" s="378" t="e">
        <f t="shared" si="34"/>
        <v>#N/A</v>
      </c>
      <c r="DK16" s="378" t="e">
        <f t="shared" si="35"/>
        <v>#N/A</v>
      </c>
      <c r="DL16" s="378" t="e">
        <f t="shared" si="35"/>
        <v>#N/A</v>
      </c>
      <c r="DM16" s="378" t="e">
        <f t="shared" si="36"/>
        <v>#N/A</v>
      </c>
      <c r="DN16" s="378" t="e">
        <f t="shared" si="37"/>
        <v>#N/A</v>
      </c>
      <c r="DO16" s="380" t="e">
        <f t="shared" si="38"/>
        <v>#N/A</v>
      </c>
      <c r="DP16" s="380" t="e">
        <f t="shared" si="39"/>
        <v>#N/A</v>
      </c>
      <c r="DQ16" s="380" t="e">
        <f t="shared" si="39"/>
        <v>#N/A</v>
      </c>
      <c r="DR16" s="380" t="e">
        <f t="shared" si="39"/>
        <v>#N/A</v>
      </c>
      <c r="DS16" s="380" t="e">
        <f t="shared" si="39"/>
        <v>#N/A</v>
      </c>
      <c r="DT16" s="380" t="e">
        <f t="shared" si="39"/>
        <v>#N/A</v>
      </c>
      <c r="DU16" s="380" t="e">
        <f t="shared" si="39"/>
        <v>#N/A</v>
      </c>
      <c r="DV16" s="380" t="e">
        <f t="shared" si="39"/>
        <v>#N/A</v>
      </c>
      <c r="DW16" s="380" t="e">
        <f t="shared" si="39"/>
        <v>#N/A</v>
      </c>
      <c r="DX16" s="380" t="e">
        <f t="shared" si="39"/>
        <v>#N/A</v>
      </c>
      <c r="DY16" s="380" t="e">
        <f t="shared" si="40"/>
        <v>#N/A</v>
      </c>
      <c r="DZ16" s="378" t="e">
        <f t="shared" si="41"/>
        <v>#N/A</v>
      </c>
      <c r="EA16" s="378" t="e">
        <f t="shared" si="42"/>
        <v>#N/A</v>
      </c>
      <c r="EB16" s="378" t="e">
        <f t="shared" si="42"/>
        <v>#N/A</v>
      </c>
      <c r="EC16" s="378" t="e">
        <f t="shared" si="42"/>
        <v>#N/A</v>
      </c>
      <c r="ED16" s="378" t="e">
        <f t="shared" si="42"/>
        <v>#N/A</v>
      </c>
      <c r="EE16" s="378" t="e">
        <f t="shared" si="42"/>
        <v>#N/A</v>
      </c>
      <c r="EF16" s="378" t="e">
        <f t="shared" si="42"/>
        <v>#N/A</v>
      </c>
      <c r="EG16" s="378" t="e">
        <f t="shared" si="42"/>
        <v>#N/A</v>
      </c>
      <c r="EH16" s="378" t="e">
        <f t="shared" si="42"/>
        <v>#N/A</v>
      </c>
      <c r="EI16" s="378" t="e">
        <f t="shared" si="42"/>
        <v>#N/A</v>
      </c>
      <c r="EJ16" s="354" t="e">
        <f t="shared" si="43"/>
        <v>#N/A</v>
      </c>
      <c r="EK16" s="380" t="e">
        <f t="shared" si="44"/>
        <v>#N/A</v>
      </c>
      <c r="EL16" s="380" t="e">
        <f t="shared" si="45"/>
        <v>#N/A</v>
      </c>
      <c r="EM16" s="380" t="e">
        <f t="shared" si="45"/>
        <v>#N/A</v>
      </c>
      <c r="EN16" s="380" t="e">
        <f t="shared" si="45"/>
        <v>#N/A</v>
      </c>
      <c r="EO16" s="380" t="e">
        <f t="shared" si="45"/>
        <v>#N/A</v>
      </c>
      <c r="EP16" s="380" t="e">
        <f t="shared" si="45"/>
        <v>#N/A</v>
      </c>
      <c r="EQ16" s="380" t="e">
        <f t="shared" si="45"/>
        <v>#N/A</v>
      </c>
      <c r="ER16" s="380" t="e">
        <f t="shared" si="45"/>
        <v>#N/A</v>
      </c>
      <c r="ES16" s="380" t="e">
        <f t="shared" si="45"/>
        <v>#N/A</v>
      </c>
      <c r="ET16" s="380" t="e">
        <f t="shared" si="45"/>
        <v>#N/A</v>
      </c>
      <c r="EU16" s="379" t="e">
        <f t="shared" si="46"/>
        <v>#N/A</v>
      </c>
      <c r="EV16" s="382"/>
      <c r="EW16" s="382"/>
      <c r="EX16" s="382"/>
      <c r="EY16" s="382"/>
      <c r="EZ16" s="382"/>
      <c r="FA16" s="382"/>
      <c r="FB16" s="382"/>
      <c r="FD16" s="582" t="s">
        <v>1662</v>
      </c>
      <c r="FE16" s="582"/>
      <c r="FF16" s="582"/>
      <c r="FG16" s="582"/>
      <c r="FH16" s="582"/>
    </row>
    <row r="17" spans="1:165" ht="35" customHeight="1" x14ac:dyDescent="0.3">
      <c r="A17" s="330"/>
      <c r="B17" s="318"/>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7"/>
      <c r="AN17" s="318"/>
      <c r="AO17" s="511" t="e">
        <f t="shared" si="12"/>
        <v>#N/A</v>
      </c>
      <c r="AP17" s="511" t="e">
        <f t="shared" si="13"/>
        <v>#N/A</v>
      </c>
      <c r="AQ17" s="511" t="e">
        <f t="shared" si="14"/>
        <v>#N/A</v>
      </c>
      <c r="AR17" s="511" t="e">
        <f t="shared" si="15"/>
        <v>#N/A</v>
      </c>
      <c r="AS17" s="511" t="e">
        <f>HLOOKUP($C$1,'Inflation Adjustments'!$BI$3:$BT$4,2)*CR17</f>
        <v>#N/A</v>
      </c>
      <c r="AT17" s="511">
        <f>IF(BU17="In Service",'Maintenace Cost Assumptions'!$B$3*AS17,0)</f>
        <v>0</v>
      </c>
      <c r="AU17" s="318"/>
      <c r="AV17" s="318"/>
      <c r="AW17" s="318"/>
      <c r="AX17" s="318"/>
      <c r="AY17" s="318"/>
      <c r="AZ17" s="318"/>
      <c r="BA17" s="318"/>
      <c r="BB17" s="318"/>
      <c r="BC17" s="318"/>
      <c r="BD17" s="318"/>
      <c r="BE17" s="318"/>
      <c r="BF17" s="318"/>
      <c r="BG17" s="332">
        <f>(AU17*'Condition rating weights'!H$8+AV17*'Condition rating weights'!I$8+AW17*'Condition rating weights'!J$8+AX17*'Condition rating weights'!K$8+AY17*'Condition rating weights'!L$8+AZ17*'Condition rating weights'!M$8+BA17*'Condition rating weights'!N$8+BB17*'Condition rating weights'!O$8+BC17*'Condition rating weights'!P$8+BD17*'Condition rating weights'!Q$8+BE17*'Condition rating weights'!R$8+BF17*'Condition rating weights'!S$8)/100</f>
        <v>0</v>
      </c>
      <c r="BH17" s="333"/>
      <c r="BI17" s="333"/>
      <c r="BJ17" s="333"/>
      <c r="BK17" s="333"/>
      <c r="BL17" s="333"/>
      <c r="BM17" s="333"/>
      <c r="BN17" s="333"/>
      <c r="BO17" s="333"/>
      <c r="BP17" s="333"/>
      <c r="BQ17" s="333"/>
      <c r="BR17" s="333"/>
      <c r="BS17" s="333"/>
      <c r="BT17" s="334"/>
      <c r="BU17" s="335"/>
      <c r="BV17" s="255"/>
      <c r="BY17" s="144"/>
      <c r="BZ17" s="144"/>
      <c r="CA17" s="144"/>
      <c r="CB17" s="144"/>
      <c r="CC17" s="144"/>
      <c r="CD17" s="144"/>
      <c r="CE17" s="144"/>
      <c r="CF17" s="144"/>
      <c r="CG17" s="144"/>
      <c r="CH17" s="378" t="e">
        <f t="shared" si="16"/>
        <v>#N/A</v>
      </c>
      <c r="CI17" s="378" t="e">
        <f t="shared" si="17"/>
        <v>#N/A</v>
      </c>
      <c r="CJ17" s="378" t="e">
        <f t="shared" si="18"/>
        <v>#N/A</v>
      </c>
      <c r="CK17" s="378" t="e">
        <f t="shared" si="19"/>
        <v>#N/A</v>
      </c>
      <c r="CL17" s="378" t="e">
        <f t="shared" si="20"/>
        <v>#N/A</v>
      </c>
      <c r="CM17" s="378" t="e">
        <f t="shared" si="21"/>
        <v>#N/A</v>
      </c>
      <c r="CN17" s="378" t="e">
        <f t="shared" si="22"/>
        <v>#N/A</v>
      </c>
      <c r="CO17" s="378" t="e">
        <f t="shared" si="23"/>
        <v>#N/A</v>
      </c>
      <c r="CP17" s="378" t="e">
        <f t="shared" si="24"/>
        <v>#N/A</v>
      </c>
      <c r="CQ17" s="378" t="e">
        <f t="shared" si="25"/>
        <v>#N/A</v>
      </c>
      <c r="CR17" s="354" t="e">
        <f t="shared" si="26"/>
        <v>#N/A</v>
      </c>
      <c r="CS17" s="379" t="e">
        <f>(HLOOKUP($AI17,'Inflation Adjustments'!$B$3:$BT$4,2,TRUE))*CH17</f>
        <v>#N/A</v>
      </c>
      <c r="CT17" s="379" t="e">
        <f>(HLOOKUP($AI17,'Inflation Adjustments'!$B$3:$BT$4,2,TRUE))*CI17</f>
        <v>#N/A</v>
      </c>
      <c r="CU17" s="379" t="e">
        <f>(HLOOKUP($AI17,'Inflation Adjustments'!$B$3:$BT$4,2,TRUE))*CJ17</f>
        <v>#N/A</v>
      </c>
      <c r="CV17" s="379" t="e">
        <f>(HLOOKUP($AI17,'Inflation Adjustments'!$B$3:$BT$4,2,TRUE))*CK17</f>
        <v>#N/A</v>
      </c>
      <c r="CW17" s="379" t="e">
        <f>(HLOOKUP($AI17,'Inflation Adjustments'!$B$3:$BT$4,2,TRUE))*CL17</f>
        <v>#N/A</v>
      </c>
      <c r="CX17" s="379" t="e">
        <f>(HLOOKUP($AI17,'Inflation Adjustments'!$B$3:$BT$4,2,TRUE))*CM17</f>
        <v>#N/A</v>
      </c>
      <c r="CY17" s="379" t="e">
        <f>(HLOOKUP($AI17,'Inflation Adjustments'!$B$3:$BT$4,2,TRUE))*CN17</f>
        <v>#N/A</v>
      </c>
      <c r="CZ17" s="379" t="e">
        <f>(HLOOKUP($AI17,'Inflation Adjustments'!$B$3:$BT$4,2,TRUE))*CO17</f>
        <v>#N/A</v>
      </c>
      <c r="DA17" s="379" t="e">
        <f>(HLOOKUP($AI17,'Inflation Adjustments'!$B$3:$BT$4,2,TRUE))*CP17</f>
        <v>#N/A</v>
      </c>
      <c r="DB17" s="379" t="e">
        <f>(HLOOKUP($AI17,'Inflation Adjustments'!$B$3:$BT$4,2,TRUE))*CQ17</f>
        <v>#N/A</v>
      </c>
      <c r="DC17" s="379" t="e">
        <f t="shared" si="27"/>
        <v>#N/A</v>
      </c>
      <c r="DD17" s="354">
        <f t="shared" si="28"/>
        <v>2022</v>
      </c>
      <c r="DE17" s="378" t="e">
        <f t="shared" si="29"/>
        <v>#N/A</v>
      </c>
      <c r="DF17" s="378" t="e">
        <f t="shared" si="30"/>
        <v>#N/A</v>
      </c>
      <c r="DG17" s="378" t="e">
        <f t="shared" si="31"/>
        <v>#N/A</v>
      </c>
      <c r="DH17" s="378" t="e">
        <f t="shared" si="32"/>
        <v>#N/A</v>
      </c>
      <c r="DI17" s="378" t="e">
        <f t="shared" si="33"/>
        <v>#N/A</v>
      </c>
      <c r="DJ17" s="378" t="e">
        <f t="shared" si="34"/>
        <v>#N/A</v>
      </c>
      <c r="DK17" s="378" t="e">
        <f t="shared" si="35"/>
        <v>#N/A</v>
      </c>
      <c r="DL17" s="378" t="e">
        <f t="shared" si="35"/>
        <v>#N/A</v>
      </c>
      <c r="DM17" s="378" t="e">
        <f t="shared" si="36"/>
        <v>#N/A</v>
      </c>
      <c r="DN17" s="378" t="e">
        <f t="shared" si="37"/>
        <v>#N/A</v>
      </c>
      <c r="DO17" s="380" t="e">
        <f t="shared" si="38"/>
        <v>#N/A</v>
      </c>
      <c r="DP17" s="380" t="e">
        <f t="shared" si="39"/>
        <v>#N/A</v>
      </c>
      <c r="DQ17" s="380" t="e">
        <f t="shared" si="39"/>
        <v>#N/A</v>
      </c>
      <c r="DR17" s="380" t="e">
        <f t="shared" si="39"/>
        <v>#N/A</v>
      </c>
      <c r="DS17" s="380" t="e">
        <f t="shared" si="39"/>
        <v>#N/A</v>
      </c>
      <c r="DT17" s="380" t="e">
        <f t="shared" si="39"/>
        <v>#N/A</v>
      </c>
      <c r="DU17" s="380" t="e">
        <f t="shared" si="39"/>
        <v>#N/A</v>
      </c>
      <c r="DV17" s="380" t="e">
        <f t="shared" si="39"/>
        <v>#N/A</v>
      </c>
      <c r="DW17" s="380" t="e">
        <f t="shared" si="39"/>
        <v>#N/A</v>
      </c>
      <c r="DX17" s="380" t="e">
        <f t="shared" si="39"/>
        <v>#N/A</v>
      </c>
      <c r="DY17" s="380" t="e">
        <f t="shared" si="40"/>
        <v>#N/A</v>
      </c>
      <c r="DZ17" s="378" t="e">
        <f t="shared" si="41"/>
        <v>#N/A</v>
      </c>
      <c r="EA17" s="378" t="e">
        <f t="shared" si="42"/>
        <v>#N/A</v>
      </c>
      <c r="EB17" s="378" t="e">
        <f t="shared" si="42"/>
        <v>#N/A</v>
      </c>
      <c r="EC17" s="378" t="e">
        <f t="shared" si="42"/>
        <v>#N/A</v>
      </c>
      <c r="ED17" s="378" t="e">
        <f t="shared" si="42"/>
        <v>#N/A</v>
      </c>
      <c r="EE17" s="378" t="e">
        <f t="shared" si="42"/>
        <v>#N/A</v>
      </c>
      <c r="EF17" s="378" t="e">
        <f t="shared" si="42"/>
        <v>#N/A</v>
      </c>
      <c r="EG17" s="378" t="e">
        <f t="shared" si="42"/>
        <v>#N/A</v>
      </c>
      <c r="EH17" s="378" t="e">
        <f t="shared" si="42"/>
        <v>#N/A</v>
      </c>
      <c r="EI17" s="378" t="e">
        <f t="shared" si="42"/>
        <v>#N/A</v>
      </c>
      <c r="EJ17" s="354" t="e">
        <f t="shared" si="43"/>
        <v>#N/A</v>
      </c>
      <c r="EK17" s="380" t="e">
        <f t="shared" si="44"/>
        <v>#N/A</v>
      </c>
      <c r="EL17" s="380" t="e">
        <f t="shared" si="45"/>
        <v>#N/A</v>
      </c>
      <c r="EM17" s="380" t="e">
        <f t="shared" si="45"/>
        <v>#N/A</v>
      </c>
      <c r="EN17" s="380" t="e">
        <f t="shared" si="45"/>
        <v>#N/A</v>
      </c>
      <c r="EO17" s="380" t="e">
        <f t="shared" si="45"/>
        <v>#N/A</v>
      </c>
      <c r="EP17" s="380" t="e">
        <f t="shared" si="45"/>
        <v>#N/A</v>
      </c>
      <c r="EQ17" s="380" t="e">
        <f t="shared" si="45"/>
        <v>#N/A</v>
      </c>
      <c r="ER17" s="380" t="e">
        <f t="shared" si="45"/>
        <v>#N/A</v>
      </c>
      <c r="ES17" s="380" t="e">
        <f t="shared" si="45"/>
        <v>#N/A</v>
      </c>
      <c r="ET17" s="380" t="e">
        <f t="shared" si="45"/>
        <v>#N/A</v>
      </c>
      <c r="EU17" s="379" t="e">
        <f t="shared" si="46"/>
        <v>#N/A</v>
      </c>
      <c r="EV17" s="382"/>
      <c r="EW17" s="382"/>
      <c r="EX17" s="382"/>
      <c r="EY17" s="382"/>
      <c r="EZ17" s="382"/>
      <c r="FA17" s="382"/>
      <c r="FB17" s="382"/>
      <c r="FE17" s="582" t="s">
        <v>1662</v>
      </c>
      <c r="FF17" s="582"/>
      <c r="FG17" s="582"/>
      <c r="FH17" s="582"/>
      <c r="FI17" s="582"/>
    </row>
    <row r="18" spans="1:165" ht="35" customHeight="1" x14ac:dyDescent="0.3">
      <c r="A18" s="330"/>
      <c r="B18" s="318"/>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7"/>
      <c r="AN18" s="318"/>
      <c r="AO18" s="511" t="e">
        <f t="shared" si="12"/>
        <v>#N/A</v>
      </c>
      <c r="AP18" s="511" t="e">
        <f t="shared" si="13"/>
        <v>#N/A</v>
      </c>
      <c r="AQ18" s="511" t="e">
        <f t="shared" si="14"/>
        <v>#N/A</v>
      </c>
      <c r="AR18" s="511" t="e">
        <f t="shared" si="15"/>
        <v>#N/A</v>
      </c>
      <c r="AS18" s="511" t="e">
        <f>HLOOKUP($C$1,'Inflation Adjustments'!$BI$3:$BT$4,2)*CR18</f>
        <v>#N/A</v>
      </c>
      <c r="AT18" s="511">
        <f>IF(BU18="In Service",'Maintenace Cost Assumptions'!$B$3*AS18,0)</f>
        <v>0</v>
      </c>
      <c r="AU18" s="318"/>
      <c r="AV18" s="318"/>
      <c r="AW18" s="318"/>
      <c r="AX18" s="318"/>
      <c r="AY18" s="318"/>
      <c r="AZ18" s="318"/>
      <c r="BA18" s="318"/>
      <c r="BB18" s="318"/>
      <c r="BC18" s="318"/>
      <c r="BD18" s="318"/>
      <c r="BE18" s="318"/>
      <c r="BF18" s="318"/>
      <c r="BG18" s="332">
        <f>(AU18*'Condition rating weights'!H$8+AV18*'Condition rating weights'!I$8+AW18*'Condition rating weights'!J$8+AX18*'Condition rating weights'!K$8+AY18*'Condition rating weights'!L$8+AZ18*'Condition rating weights'!M$8+BA18*'Condition rating weights'!N$8+BB18*'Condition rating weights'!O$8+BC18*'Condition rating weights'!P$8+BD18*'Condition rating weights'!Q$8+BE18*'Condition rating weights'!R$8+BF18*'Condition rating weights'!S$8)/100</f>
        <v>0</v>
      </c>
      <c r="BH18" s="333"/>
      <c r="BI18" s="333"/>
      <c r="BJ18" s="333"/>
      <c r="BK18" s="333"/>
      <c r="BL18" s="333"/>
      <c r="BM18" s="333"/>
      <c r="BN18" s="333"/>
      <c r="BO18" s="333"/>
      <c r="BP18" s="333"/>
      <c r="BQ18" s="333"/>
      <c r="BR18" s="333"/>
      <c r="BS18" s="333"/>
      <c r="BT18" s="334"/>
      <c r="BU18" s="335"/>
      <c r="BV18" s="255"/>
      <c r="BY18" s="144"/>
      <c r="BZ18" s="144"/>
      <c r="CA18" s="144"/>
      <c r="CB18" s="144"/>
      <c r="CC18" s="144"/>
      <c r="CD18" s="144"/>
      <c r="CE18" s="144"/>
      <c r="CF18" s="144"/>
      <c r="CG18" s="144"/>
      <c r="CH18" s="378" t="e">
        <f t="shared" si="16"/>
        <v>#N/A</v>
      </c>
      <c r="CI18" s="378" t="e">
        <f t="shared" si="17"/>
        <v>#N/A</v>
      </c>
      <c r="CJ18" s="378" t="e">
        <f t="shared" si="18"/>
        <v>#N/A</v>
      </c>
      <c r="CK18" s="378" t="e">
        <f t="shared" si="19"/>
        <v>#N/A</v>
      </c>
      <c r="CL18" s="378" t="e">
        <f t="shared" si="20"/>
        <v>#N/A</v>
      </c>
      <c r="CM18" s="378" t="e">
        <f t="shared" si="21"/>
        <v>#N/A</v>
      </c>
      <c r="CN18" s="378" t="e">
        <f t="shared" si="22"/>
        <v>#N/A</v>
      </c>
      <c r="CO18" s="378" t="e">
        <f t="shared" si="23"/>
        <v>#N/A</v>
      </c>
      <c r="CP18" s="378" t="e">
        <f t="shared" si="24"/>
        <v>#N/A</v>
      </c>
      <c r="CQ18" s="378" t="e">
        <f t="shared" si="25"/>
        <v>#N/A</v>
      </c>
      <c r="CR18" s="354" t="e">
        <f t="shared" si="26"/>
        <v>#N/A</v>
      </c>
      <c r="CS18" s="379" t="e">
        <f>(HLOOKUP($AI18,'Inflation Adjustments'!$B$3:$BT$4,2,TRUE))*CH18</f>
        <v>#N/A</v>
      </c>
      <c r="CT18" s="379" t="e">
        <f>(HLOOKUP($AI18,'Inflation Adjustments'!$B$3:$BT$4,2,TRUE))*CI18</f>
        <v>#N/A</v>
      </c>
      <c r="CU18" s="379" t="e">
        <f>(HLOOKUP($AI18,'Inflation Adjustments'!$B$3:$BT$4,2,TRUE))*CJ18</f>
        <v>#N/A</v>
      </c>
      <c r="CV18" s="379" t="e">
        <f>(HLOOKUP($AI18,'Inflation Adjustments'!$B$3:$BT$4,2,TRUE))*CK18</f>
        <v>#N/A</v>
      </c>
      <c r="CW18" s="379" t="e">
        <f>(HLOOKUP($AI18,'Inflation Adjustments'!$B$3:$BT$4,2,TRUE))*CL18</f>
        <v>#N/A</v>
      </c>
      <c r="CX18" s="379" t="e">
        <f>(HLOOKUP($AI18,'Inflation Adjustments'!$B$3:$BT$4,2,TRUE))*CM18</f>
        <v>#N/A</v>
      </c>
      <c r="CY18" s="379" t="e">
        <f>(HLOOKUP($AI18,'Inflation Adjustments'!$B$3:$BT$4,2,TRUE))*CN18</f>
        <v>#N/A</v>
      </c>
      <c r="CZ18" s="379" t="e">
        <f>(HLOOKUP($AI18,'Inflation Adjustments'!$B$3:$BT$4,2,TRUE))*CO18</f>
        <v>#N/A</v>
      </c>
      <c r="DA18" s="379" t="e">
        <f>(HLOOKUP($AI18,'Inflation Adjustments'!$B$3:$BT$4,2,TRUE))*CP18</f>
        <v>#N/A</v>
      </c>
      <c r="DB18" s="379" t="e">
        <f>(HLOOKUP($AI18,'Inflation Adjustments'!$B$3:$BT$4,2,TRUE))*CQ18</f>
        <v>#N/A</v>
      </c>
      <c r="DC18" s="379" t="e">
        <f t="shared" si="27"/>
        <v>#N/A</v>
      </c>
      <c r="DD18" s="354">
        <f t="shared" si="28"/>
        <v>2022</v>
      </c>
      <c r="DE18" s="378" t="e">
        <f t="shared" si="29"/>
        <v>#N/A</v>
      </c>
      <c r="DF18" s="378" t="e">
        <f t="shared" si="30"/>
        <v>#N/A</v>
      </c>
      <c r="DG18" s="378" t="e">
        <f t="shared" si="31"/>
        <v>#N/A</v>
      </c>
      <c r="DH18" s="378" t="e">
        <f t="shared" si="32"/>
        <v>#N/A</v>
      </c>
      <c r="DI18" s="378" t="e">
        <f t="shared" si="33"/>
        <v>#N/A</v>
      </c>
      <c r="DJ18" s="378" t="e">
        <f t="shared" si="34"/>
        <v>#N/A</v>
      </c>
      <c r="DK18" s="378" t="e">
        <f t="shared" si="35"/>
        <v>#N/A</v>
      </c>
      <c r="DL18" s="378" t="e">
        <f t="shared" si="35"/>
        <v>#N/A</v>
      </c>
      <c r="DM18" s="378" t="e">
        <f t="shared" si="36"/>
        <v>#N/A</v>
      </c>
      <c r="DN18" s="378" t="e">
        <f t="shared" si="37"/>
        <v>#N/A</v>
      </c>
      <c r="DO18" s="380" t="e">
        <f t="shared" si="38"/>
        <v>#N/A</v>
      </c>
      <c r="DP18" s="380" t="e">
        <f t="shared" si="39"/>
        <v>#N/A</v>
      </c>
      <c r="DQ18" s="380" t="e">
        <f t="shared" si="39"/>
        <v>#N/A</v>
      </c>
      <c r="DR18" s="380" t="e">
        <f t="shared" si="39"/>
        <v>#N/A</v>
      </c>
      <c r="DS18" s="380" t="e">
        <f t="shared" si="39"/>
        <v>#N/A</v>
      </c>
      <c r="DT18" s="380" t="e">
        <f t="shared" si="39"/>
        <v>#N/A</v>
      </c>
      <c r="DU18" s="380" t="e">
        <f t="shared" si="39"/>
        <v>#N/A</v>
      </c>
      <c r="DV18" s="380" t="e">
        <f t="shared" si="39"/>
        <v>#N/A</v>
      </c>
      <c r="DW18" s="380" t="e">
        <f t="shared" si="39"/>
        <v>#N/A</v>
      </c>
      <c r="DX18" s="380" t="e">
        <f t="shared" si="39"/>
        <v>#N/A</v>
      </c>
      <c r="DY18" s="380" t="e">
        <f t="shared" si="40"/>
        <v>#N/A</v>
      </c>
      <c r="DZ18" s="378" t="e">
        <f t="shared" si="41"/>
        <v>#N/A</v>
      </c>
      <c r="EA18" s="378" t="e">
        <f t="shared" si="42"/>
        <v>#N/A</v>
      </c>
      <c r="EB18" s="378" t="e">
        <f t="shared" si="42"/>
        <v>#N/A</v>
      </c>
      <c r="EC18" s="378" t="e">
        <f t="shared" si="42"/>
        <v>#N/A</v>
      </c>
      <c r="ED18" s="378" t="e">
        <f t="shared" si="42"/>
        <v>#N/A</v>
      </c>
      <c r="EE18" s="378" t="e">
        <f t="shared" si="42"/>
        <v>#N/A</v>
      </c>
      <c r="EF18" s="378" t="e">
        <f t="shared" si="42"/>
        <v>#N/A</v>
      </c>
      <c r="EG18" s="378" t="e">
        <f t="shared" si="42"/>
        <v>#N/A</v>
      </c>
      <c r="EH18" s="378" t="e">
        <f t="shared" si="42"/>
        <v>#N/A</v>
      </c>
      <c r="EI18" s="378" t="e">
        <f t="shared" si="42"/>
        <v>#N/A</v>
      </c>
      <c r="EJ18" s="354" t="e">
        <f t="shared" si="43"/>
        <v>#N/A</v>
      </c>
      <c r="EK18" s="380" t="e">
        <f t="shared" si="44"/>
        <v>#N/A</v>
      </c>
      <c r="EL18" s="380" t="e">
        <f t="shared" si="45"/>
        <v>#N/A</v>
      </c>
      <c r="EM18" s="380" t="e">
        <f t="shared" si="45"/>
        <v>#N/A</v>
      </c>
      <c r="EN18" s="380" t="e">
        <f t="shared" si="45"/>
        <v>#N/A</v>
      </c>
      <c r="EO18" s="380" t="e">
        <f t="shared" si="45"/>
        <v>#N/A</v>
      </c>
      <c r="EP18" s="380" t="e">
        <f t="shared" si="45"/>
        <v>#N/A</v>
      </c>
      <c r="EQ18" s="380" t="e">
        <f t="shared" si="45"/>
        <v>#N/A</v>
      </c>
      <c r="ER18" s="380" t="e">
        <f t="shared" si="45"/>
        <v>#N/A</v>
      </c>
      <c r="ES18" s="380" t="e">
        <f t="shared" si="45"/>
        <v>#N/A</v>
      </c>
      <c r="ET18" s="380" t="e">
        <f t="shared" si="45"/>
        <v>#N/A</v>
      </c>
      <c r="EU18" s="379" t="e">
        <f t="shared" si="46"/>
        <v>#N/A</v>
      </c>
      <c r="EV18" s="382"/>
      <c r="EW18" s="382"/>
      <c r="EX18" s="382"/>
      <c r="EY18" s="382"/>
      <c r="EZ18" s="382"/>
      <c r="FA18" s="382"/>
      <c r="FB18" s="382"/>
      <c r="FE18" s="582" t="s">
        <v>1590</v>
      </c>
      <c r="FF18" s="582"/>
      <c r="FG18" s="582"/>
      <c r="FH18" s="582"/>
    </row>
    <row r="19" spans="1:165" ht="35" customHeight="1" x14ac:dyDescent="0.3">
      <c r="A19" s="330"/>
      <c r="B19" s="318"/>
      <c r="C19" s="318"/>
      <c r="D19" s="318"/>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7"/>
      <c r="AN19" s="318"/>
      <c r="AO19" s="511" t="e">
        <f t="shared" si="12"/>
        <v>#N/A</v>
      </c>
      <c r="AP19" s="511" t="e">
        <f t="shared" si="13"/>
        <v>#N/A</v>
      </c>
      <c r="AQ19" s="511" t="e">
        <f t="shared" si="14"/>
        <v>#N/A</v>
      </c>
      <c r="AR19" s="511" t="e">
        <f t="shared" si="15"/>
        <v>#N/A</v>
      </c>
      <c r="AS19" s="511" t="e">
        <f>HLOOKUP($C$1,'Inflation Adjustments'!$BI$3:$BT$4,2)*CR19</f>
        <v>#N/A</v>
      </c>
      <c r="AT19" s="511">
        <f>IF(BU19="In Service",'Maintenace Cost Assumptions'!$B$3*AS19,0)</f>
        <v>0</v>
      </c>
      <c r="AU19" s="318"/>
      <c r="AV19" s="318"/>
      <c r="AW19" s="318"/>
      <c r="AX19" s="318"/>
      <c r="AY19" s="318"/>
      <c r="AZ19" s="318"/>
      <c r="BA19" s="318"/>
      <c r="BB19" s="318"/>
      <c r="BC19" s="318"/>
      <c r="BD19" s="318"/>
      <c r="BE19" s="318"/>
      <c r="BF19" s="318"/>
      <c r="BG19" s="332">
        <f>(AU19*'Condition rating weights'!H$8+AV19*'Condition rating weights'!I$8+AW19*'Condition rating weights'!J$8+AX19*'Condition rating weights'!K$8+AY19*'Condition rating weights'!L$8+AZ19*'Condition rating weights'!M$8+BA19*'Condition rating weights'!N$8+BB19*'Condition rating weights'!O$8+BC19*'Condition rating weights'!P$8+BD19*'Condition rating weights'!Q$8+BE19*'Condition rating weights'!R$8+BF19*'Condition rating weights'!S$8)/100</f>
        <v>0</v>
      </c>
      <c r="BH19" s="333"/>
      <c r="BI19" s="333"/>
      <c r="BJ19" s="333"/>
      <c r="BK19" s="333"/>
      <c r="BL19" s="333"/>
      <c r="BM19" s="333"/>
      <c r="BN19" s="333"/>
      <c r="BO19" s="333"/>
      <c r="BP19" s="333"/>
      <c r="BQ19" s="333"/>
      <c r="BR19" s="333"/>
      <c r="BS19" s="333"/>
      <c r="BT19" s="334"/>
      <c r="BU19" s="335"/>
      <c r="BV19" s="255"/>
      <c r="BW19" s="361"/>
      <c r="BY19" s="144"/>
      <c r="BZ19" s="144"/>
      <c r="CA19" s="144"/>
      <c r="CB19" s="144"/>
      <c r="CC19" s="144"/>
      <c r="CD19" s="144"/>
      <c r="CE19" s="144"/>
      <c r="CF19" s="144"/>
      <c r="CG19" s="144"/>
      <c r="CH19" s="378" t="e">
        <f t="shared" si="16"/>
        <v>#N/A</v>
      </c>
      <c r="CI19" s="378" t="e">
        <f t="shared" si="17"/>
        <v>#N/A</v>
      </c>
      <c r="CJ19" s="378" t="e">
        <f t="shared" si="18"/>
        <v>#N/A</v>
      </c>
      <c r="CK19" s="378" t="e">
        <f t="shared" si="19"/>
        <v>#N/A</v>
      </c>
      <c r="CL19" s="378" t="e">
        <f t="shared" si="20"/>
        <v>#N/A</v>
      </c>
      <c r="CM19" s="378" t="e">
        <f t="shared" si="21"/>
        <v>#N/A</v>
      </c>
      <c r="CN19" s="378" t="e">
        <f t="shared" si="22"/>
        <v>#N/A</v>
      </c>
      <c r="CO19" s="378" t="e">
        <f t="shared" si="23"/>
        <v>#N/A</v>
      </c>
      <c r="CP19" s="378" t="e">
        <f t="shared" si="24"/>
        <v>#N/A</v>
      </c>
      <c r="CQ19" s="378" t="e">
        <f t="shared" si="25"/>
        <v>#N/A</v>
      </c>
      <c r="CR19" s="354" t="e">
        <f t="shared" si="26"/>
        <v>#N/A</v>
      </c>
      <c r="CS19" s="379" t="e">
        <f>(HLOOKUP($AI19,'Inflation Adjustments'!$B$3:$BT$4,2,TRUE))*CH19</f>
        <v>#N/A</v>
      </c>
      <c r="CT19" s="379" t="e">
        <f>(HLOOKUP($AI19,'Inflation Adjustments'!$B$3:$BT$4,2,TRUE))*CI19</f>
        <v>#N/A</v>
      </c>
      <c r="CU19" s="379" t="e">
        <f>(HLOOKUP($AI19,'Inflation Adjustments'!$B$3:$BT$4,2,TRUE))*CJ19</f>
        <v>#N/A</v>
      </c>
      <c r="CV19" s="379" t="e">
        <f>(HLOOKUP($AI19,'Inflation Adjustments'!$B$3:$BT$4,2,TRUE))*CK19</f>
        <v>#N/A</v>
      </c>
      <c r="CW19" s="379" t="e">
        <f>(HLOOKUP($AI19,'Inflation Adjustments'!$B$3:$BT$4,2,TRUE))*CL19</f>
        <v>#N/A</v>
      </c>
      <c r="CX19" s="379" t="e">
        <f>(HLOOKUP($AI19,'Inflation Adjustments'!$B$3:$BT$4,2,TRUE))*CM19</f>
        <v>#N/A</v>
      </c>
      <c r="CY19" s="379" t="e">
        <f>(HLOOKUP($AI19,'Inflation Adjustments'!$B$3:$BT$4,2,TRUE))*CN19</f>
        <v>#N/A</v>
      </c>
      <c r="CZ19" s="379" t="e">
        <f>(HLOOKUP($AI19,'Inflation Adjustments'!$B$3:$BT$4,2,TRUE))*CO19</f>
        <v>#N/A</v>
      </c>
      <c r="DA19" s="379" t="e">
        <f>(HLOOKUP($AI19,'Inflation Adjustments'!$B$3:$BT$4,2,TRUE))*CP19</f>
        <v>#N/A</v>
      </c>
      <c r="DB19" s="379" t="e">
        <f>(HLOOKUP($AI19,'Inflation Adjustments'!$B$3:$BT$4,2,TRUE))*CQ19</f>
        <v>#N/A</v>
      </c>
      <c r="DC19" s="379" t="e">
        <f t="shared" si="27"/>
        <v>#N/A</v>
      </c>
      <c r="DD19" s="354">
        <f t="shared" si="28"/>
        <v>2022</v>
      </c>
      <c r="DE19" s="378" t="e">
        <f t="shared" si="29"/>
        <v>#N/A</v>
      </c>
      <c r="DF19" s="378" t="e">
        <f t="shared" si="30"/>
        <v>#N/A</v>
      </c>
      <c r="DG19" s="378" t="e">
        <f t="shared" si="31"/>
        <v>#N/A</v>
      </c>
      <c r="DH19" s="378" t="e">
        <f t="shared" si="32"/>
        <v>#N/A</v>
      </c>
      <c r="DI19" s="378" t="e">
        <f t="shared" si="33"/>
        <v>#N/A</v>
      </c>
      <c r="DJ19" s="378" t="e">
        <f t="shared" si="34"/>
        <v>#N/A</v>
      </c>
      <c r="DK19" s="378" t="e">
        <f t="shared" si="35"/>
        <v>#N/A</v>
      </c>
      <c r="DL19" s="378" t="e">
        <f t="shared" si="35"/>
        <v>#N/A</v>
      </c>
      <c r="DM19" s="378" t="e">
        <f t="shared" si="36"/>
        <v>#N/A</v>
      </c>
      <c r="DN19" s="378" t="e">
        <f t="shared" si="37"/>
        <v>#N/A</v>
      </c>
      <c r="DO19" s="380" t="e">
        <f t="shared" si="38"/>
        <v>#N/A</v>
      </c>
      <c r="DP19" s="380" t="e">
        <f t="shared" si="39"/>
        <v>#N/A</v>
      </c>
      <c r="DQ19" s="380" t="e">
        <f t="shared" si="39"/>
        <v>#N/A</v>
      </c>
      <c r="DR19" s="380" t="e">
        <f t="shared" si="39"/>
        <v>#N/A</v>
      </c>
      <c r="DS19" s="380" t="e">
        <f t="shared" si="39"/>
        <v>#N/A</v>
      </c>
      <c r="DT19" s="380" t="e">
        <f t="shared" si="39"/>
        <v>#N/A</v>
      </c>
      <c r="DU19" s="380" t="e">
        <f t="shared" si="39"/>
        <v>#N/A</v>
      </c>
      <c r="DV19" s="380" t="e">
        <f t="shared" si="39"/>
        <v>#N/A</v>
      </c>
      <c r="DW19" s="380" t="e">
        <f t="shared" si="39"/>
        <v>#N/A</v>
      </c>
      <c r="DX19" s="380" t="e">
        <f t="shared" si="39"/>
        <v>#N/A</v>
      </c>
      <c r="DY19" s="380" t="e">
        <f t="shared" si="40"/>
        <v>#N/A</v>
      </c>
      <c r="DZ19" s="378" t="e">
        <f t="shared" si="41"/>
        <v>#N/A</v>
      </c>
      <c r="EA19" s="378" t="e">
        <f t="shared" si="42"/>
        <v>#N/A</v>
      </c>
      <c r="EB19" s="378" t="e">
        <f t="shared" si="42"/>
        <v>#N/A</v>
      </c>
      <c r="EC19" s="378" t="e">
        <f t="shared" si="42"/>
        <v>#N/A</v>
      </c>
      <c r="ED19" s="378" t="e">
        <f t="shared" si="42"/>
        <v>#N/A</v>
      </c>
      <c r="EE19" s="378" t="e">
        <f t="shared" si="42"/>
        <v>#N/A</v>
      </c>
      <c r="EF19" s="378" t="e">
        <f t="shared" si="42"/>
        <v>#N/A</v>
      </c>
      <c r="EG19" s="378" t="e">
        <f t="shared" si="42"/>
        <v>#N/A</v>
      </c>
      <c r="EH19" s="378" t="e">
        <f t="shared" si="42"/>
        <v>#N/A</v>
      </c>
      <c r="EI19" s="378" t="e">
        <f t="shared" si="42"/>
        <v>#N/A</v>
      </c>
      <c r="EJ19" s="354" t="e">
        <f t="shared" si="43"/>
        <v>#N/A</v>
      </c>
      <c r="EK19" s="380" t="e">
        <f t="shared" si="44"/>
        <v>#N/A</v>
      </c>
      <c r="EL19" s="380" t="e">
        <f t="shared" si="45"/>
        <v>#N/A</v>
      </c>
      <c r="EM19" s="380" t="e">
        <f t="shared" si="45"/>
        <v>#N/A</v>
      </c>
      <c r="EN19" s="380" t="e">
        <f t="shared" si="45"/>
        <v>#N/A</v>
      </c>
      <c r="EO19" s="380" t="e">
        <f t="shared" si="45"/>
        <v>#N/A</v>
      </c>
      <c r="EP19" s="380" t="e">
        <f t="shared" si="45"/>
        <v>#N/A</v>
      </c>
      <c r="EQ19" s="380" t="e">
        <f t="shared" si="45"/>
        <v>#N/A</v>
      </c>
      <c r="ER19" s="380" t="e">
        <f t="shared" si="45"/>
        <v>#N/A</v>
      </c>
      <c r="ES19" s="380" t="e">
        <f t="shared" si="45"/>
        <v>#N/A</v>
      </c>
      <c r="ET19" s="380" t="e">
        <f t="shared" si="45"/>
        <v>#N/A</v>
      </c>
      <c r="EU19" s="379" t="e">
        <f t="shared" si="46"/>
        <v>#N/A</v>
      </c>
      <c r="EV19" s="382"/>
      <c r="EW19" s="382"/>
      <c r="EX19" s="382"/>
      <c r="EY19" s="382"/>
      <c r="EZ19" s="382"/>
      <c r="FA19" s="382"/>
      <c r="FB19" s="382"/>
      <c r="FE19" s="582" t="s">
        <v>1658</v>
      </c>
      <c r="FF19" s="582"/>
      <c r="FG19" s="582"/>
      <c r="FH19" s="582"/>
    </row>
    <row r="20" spans="1:165" ht="35" customHeight="1" x14ac:dyDescent="0.3">
      <c r="A20" s="330"/>
      <c r="B20" s="318"/>
      <c r="C20" s="318"/>
      <c r="D20" s="318"/>
      <c r="E20" s="318"/>
      <c r="F20" s="318"/>
      <c r="G20" s="318"/>
      <c r="H20" s="318"/>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18"/>
      <c r="AI20" s="318"/>
      <c r="AJ20" s="318"/>
      <c r="AK20" s="318"/>
      <c r="AL20" s="318"/>
      <c r="AM20" s="317"/>
      <c r="AN20" s="318"/>
      <c r="AO20" s="511" t="e">
        <f t="shared" si="12"/>
        <v>#N/A</v>
      </c>
      <c r="AP20" s="511" t="e">
        <f t="shared" si="13"/>
        <v>#N/A</v>
      </c>
      <c r="AQ20" s="511" t="e">
        <f t="shared" si="14"/>
        <v>#N/A</v>
      </c>
      <c r="AR20" s="511" t="e">
        <f t="shared" si="15"/>
        <v>#N/A</v>
      </c>
      <c r="AS20" s="511" t="e">
        <f>HLOOKUP($C$1,'Inflation Adjustments'!$BI$3:$BT$4,2)*CR20</f>
        <v>#N/A</v>
      </c>
      <c r="AT20" s="511">
        <f>IF(BU20="In Service",'Maintenace Cost Assumptions'!$B$3*AS20,0)</f>
        <v>0</v>
      </c>
      <c r="AU20" s="318"/>
      <c r="AV20" s="318"/>
      <c r="AW20" s="318"/>
      <c r="AX20" s="318"/>
      <c r="AY20" s="318"/>
      <c r="AZ20" s="318"/>
      <c r="BA20" s="318"/>
      <c r="BB20" s="318"/>
      <c r="BC20" s="318"/>
      <c r="BD20" s="318"/>
      <c r="BE20" s="318"/>
      <c r="BF20" s="318"/>
      <c r="BG20" s="332">
        <f>(AU20*'Condition rating weights'!H$8+AV20*'Condition rating weights'!I$8+AW20*'Condition rating weights'!J$8+AX20*'Condition rating weights'!K$8+AY20*'Condition rating weights'!L$8+AZ20*'Condition rating weights'!M$8+BA20*'Condition rating weights'!N$8+BB20*'Condition rating weights'!O$8+BC20*'Condition rating weights'!P$8+BD20*'Condition rating weights'!Q$8+BE20*'Condition rating weights'!R$8+BF20*'Condition rating weights'!S$8)/100</f>
        <v>0</v>
      </c>
      <c r="BH20" s="333"/>
      <c r="BI20" s="333"/>
      <c r="BJ20" s="333"/>
      <c r="BK20" s="333"/>
      <c r="BL20" s="333"/>
      <c r="BM20" s="333"/>
      <c r="BN20" s="333"/>
      <c r="BO20" s="333"/>
      <c r="BP20" s="333"/>
      <c r="BQ20" s="333"/>
      <c r="BR20" s="333"/>
      <c r="BS20" s="333"/>
      <c r="BT20" s="334"/>
      <c r="BU20" s="335"/>
      <c r="BV20" s="255"/>
      <c r="BY20" s="144"/>
      <c r="BZ20" s="144"/>
      <c r="CA20" s="144"/>
      <c r="CB20" s="144"/>
      <c r="CC20" s="144"/>
      <c r="CD20" s="144"/>
      <c r="CE20" s="144"/>
      <c r="CF20" s="144"/>
      <c r="CG20" s="144"/>
      <c r="CH20" s="378" t="e">
        <f t="shared" si="16"/>
        <v>#N/A</v>
      </c>
      <c r="CI20" s="378" t="e">
        <f t="shared" si="17"/>
        <v>#N/A</v>
      </c>
      <c r="CJ20" s="378" t="e">
        <f t="shared" si="18"/>
        <v>#N/A</v>
      </c>
      <c r="CK20" s="378" t="e">
        <f t="shared" si="19"/>
        <v>#N/A</v>
      </c>
      <c r="CL20" s="378" t="e">
        <f t="shared" si="20"/>
        <v>#N/A</v>
      </c>
      <c r="CM20" s="378" t="e">
        <f t="shared" si="21"/>
        <v>#N/A</v>
      </c>
      <c r="CN20" s="378" t="e">
        <f t="shared" si="22"/>
        <v>#N/A</v>
      </c>
      <c r="CO20" s="378" t="e">
        <f t="shared" si="23"/>
        <v>#N/A</v>
      </c>
      <c r="CP20" s="378" t="e">
        <f t="shared" si="24"/>
        <v>#N/A</v>
      </c>
      <c r="CQ20" s="378" t="e">
        <f t="shared" si="25"/>
        <v>#N/A</v>
      </c>
      <c r="CR20" s="354" t="e">
        <f t="shared" si="26"/>
        <v>#N/A</v>
      </c>
      <c r="CS20" s="379" t="e">
        <f>(HLOOKUP($AI20,'Inflation Adjustments'!$B$3:$BT$4,2,TRUE))*CH20</f>
        <v>#N/A</v>
      </c>
      <c r="CT20" s="379" t="e">
        <f>(HLOOKUP($AI20,'Inflation Adjustments'!$B$3:$BT$4,2,TRUE))*CI20</f>
        <v>#N/A</v>
      </c>
      <c r="CU20" s="379" t="e">
        <f>(HLOOKUP($AI20,'Inflation Adjustments'!$B$3:$BT$4,2,TRUE))*CJ20</f>
        <v>#N/A</v>
      </c>
      <c r="CV20" s="379" t="e">
        <f>(HLOOKUP($AI20,'Inflation Adjustments'!$B$3:$BT$4,2,TRUE))*CK20</f>
        <v>#N/A</v>
      </c>
      <c r="CW20" s="379" t="e">
        <f>(HLOOKUP($AI20,'Inflation Adjustments'!$B$3:$BT$4,2,TRUE))*CL20</f>
        <v>#N/A</v>
      </c>
      <c r="CX20" s="379" t="e">
        <f>(HLOOKUP($AI20,'Inflation Adjustments'!$B$3:$BT$4,2,TRUE))*CM20</f>
        <v>#N/A</v>
      </c>
      <c r="CY20" s="379" t="e">
        <f>(HLOOKUP($AI20,'Inflation Adjustments'!$B$3:$BT$4,2,TRUE))*CN20</f>
        <v>#N/A</v>
      </c>
      <c r="CZ20" s="379" t="e">
        <f>(HLOOKUP($AI20,'Inflation Adjustments'!$B$3:$BT$4,2,TRUE))*CO20</f>
        <v>#N/A</v>
      </c>
      <c r="DA20" s="379" t="e">
        <f>(HLOOKUP($AI20,'Inflation Adjustments'!$B$3:$BT$4,2,TRUE))*CP20</f>
        <v>#N/A</v>
      </c>
      <c r="DB20" s="379" t="e">
        <f>(HLOOKUP($AI20,'Inflation Adjustments'!$B$3:$BT$4,2,TRUE))*CQ20</f>
        <v>#N/A</v>
      </c>
      <c r="DC20" s="379" t="e">
        <f t="shared" si="27"/>
        <v>#N/A</v>
      </c>
      <c r="DD20" s="354">
        <f t="shared" si="28"/>
        <v>2022</v>
      </c>
      <c r="DE20" s="378" t="e">
        <f t="shared" si="29"/>
        <v>#N/A</v>
      </c>
      <c r="DF20" s="378" t="e">
        <f t="shared" si="30"/>
        <v>#N/A</v>
      </c>
      <c r="DG20" s="378" t="e">
        <f t="shared" si="31"/>
        <v>#N/A</v>
      </c>
      <c r="DH20" s="378" t="e">
        <f t="shared" si="32"/>
        <v>#N/A</v>
      </c>
      <c r="DI20" s="378" t="e">
        <f t="shared" si="33"/>
        <v>#N/A</v>
      </c>
      <c r="DJ20" s="378" t="e">
        <f t="shared" si="34"/>
        <v>#N/A</v>
      </c>
      <c r="DK20" s="378" t="e">
        <f t="shared" si="35"/>
        <v>#N/A</v>
      </c>
      <c r="DL20" s="378" t="e">
        <f t="shared" si="35"/>
        <v>#N/A</v>
      </c>
      <c r="DM20" s="378" t="e">
        <f t="shared" si="36"/>
        <v>#N/A</v>
      </c>
      <c r="DN20" s="378" t="e">
        <f t="shared" si="37"/>
        <v>#N/A</v>
      </c>
      <c r="DO20" s="380" t="e">
        <f t="shared" si="38"/>
        <v>#N/A</v>
      </c>
      <c r="DP20" s="380" t="e">
        <f t="shared" si="39"/>
        <v>#N/A</v>
      </c>
      <c r="DQ20" s="380" t="e">
        <f t="shared" si="39"/>
        <v>#N/A</v>
      </c>
      <c r="DR20" s="380" t="e">
        <f t="shared" si="39"/>
        <v>#N/A</v>
      </c>
      <c r="DS20" s="380" t="e">
        <f t="shared" si="39"/>
        <v>#N/A</v>
      </c>
      <c r="DT20" s="380" t="e">
        <f t="shared" si="39"/>
        <v>#N/A</v>
      </c>
      <c r="DU20" s="380" t="e">
        <f t="shared" si="39"/>
        <v>#N/A</v>
      </c>
      <c r="DV20" s="380" t="e">
        <f t="shared" si="39"/>
        <v>#N/A</v>
      </c>
      <c r="DW20" s="380" t="e">
        <f t="shared" si="39"/>
        <v>#N/A</v>
      </c>
      <c r="DX20" s="380" t="e">
        <f t="shared" si="39"/>
        <v>#N/A</v>
      </c>
      <c r="DY20" s="380" t="e">
        <f t="shared" si="40"/>
        <v>#N/A</v>
      </c>
      <c r="DZ20" s="378" t="e">
        <f t="shared" si="41"/>
        <v>#N/A</v>
      </c>
      <c r="EA20" s="378" t="e">
        <f t="shared" si="42"/>
        <v>#N/A</v>
      </c>
      <c r="EB20" s="378" t="e">
        <f t="shared" si="42"/>
        <v>#N/A</v>
      </c>
      <c r="EC20" s="378" t="e">
        <f t="shared" si="42"/>
        <v>#N/A</v>
      </c>
      <c r="ED20" s="378" t="e">
        <f t="shared" si="42"/>
        <v>#N/A</v>
      </c>
      <c r="EE20" s="378" t="e">
        <f t="shared" si="42"/>
        <v>#N/A</v>
      </c>
      <c r="EF20" s="378" t="e">
        <f t="shared" si="42"/>
        <v>#N/A</v>
      </c>
      <c r="EG20" s="378" t="e">
        <f t="shared" si="42"/>
        <v>#N/A</v>
      </c>
      <c r="EH20" s="378" t="e">
        <f t="shared" si="42"/>
        <v>#N/A</v>
      </c>
      <c r="EI20" s="378" t="e">
        <f t="shared" si="42"/>
        <v>#N/A</v>
      </c>
      <c r="EJ20" s="354" t="e">
        <f t="shared" si="43"/>
        <v>#N/A</v>
      </c>
      <c r="EK20" s="380" t="e">
        <f t="shared" si="44"/>
        <v>#N/A</v>
      </c>
      <c r="EL20" s="380" t="e">
        <f t="shared" si="45"/>
        <v>#N/A</v>
      </c>
      <c r="EM20" s="380" t="e">
        <f t="shared" si="45"/>
        <v>#N/A</v>
      </c>
      <c r="EN20" s="380" t="e">
        <f t="shared" si="45"/>
        <v>#N/A</v>
      </c>
      <c r="EO20" s="380" t="e">
        <f t="shared" si="45"/>
        <v>#N/A</v>
      </c>
      <c r="EP20" s="380" t="e">
        <f t="shared" si="45"/>
        <v>#N/A</v>
      </c>
      <c r="EQ20" s="380" t="e">
        <f t="shared" si="45"/>
        <v>#N/A</v>
      </c>
      <c r="ER20" s="380" t="e">
        <f t="shared" si="45"/>
        <v>#N/A</v>
      </c>
      <c r="ES20" s="380" t="e">
        <f t="shared" si="45"/>
        <v>#N/A</v>
      </c>
      <c r="ET20" s="380" t="e">
        <f t="shared" si="45"/>
        <v>#N/A</v>
      </c>
      <c r="EU20" s="379" t="e">
        <f t="shared" si="46"/>
        <v>#N/A</v>
      </c>
      <c r="EV20" s="382"/>
      <c r="EW20" s="382"/>
      <c r="EX20" s="382"/>
      <c r="EY20" s="382"/>
      <c r="EZ20" s="382"/>
      <c r="FA20" s="382"/>
      <c r="FB20" s="382"/>
      <c r="FE20" s="583" t="s">
        <v>1659</v>
      </c>
      <c r="FF20" s="583"/>
      <c r="FG20" s="583"/>
      <c r="FH20" s="583"/>
    </row>
    <row r="21" spans="1:165" ht="35" customHeight="1" x14ac:dyDescent="0.3">
      <c r="A21" s="330"/>
      <c r="B21" s="318"/>
      <c r="C21" s="318"/>
      <c r="D21" s="318"/>
      <c r="E21" s="318"/>
      <c r="F21" s="318"/>
      <c r="G21" s="318"/>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7"/>
      <c r="AN21" s="318"/>
      <c r="AO21" s="317"/>
      <c r="AP21" s="317"/>
      <c r="AQ21" s="317"/>
      <c r="AR21" s="317"/>
      <c r="AS21" s="317"/>
      <c r="AT21" s="317"/>
      <c r="AU21" s="318"/>
      <c r="AV21" s="318"/>
      <c r="AW21" s="318"/>
      <c r="AX21" s="318"/>
      <c r="AY21" s="318"/>
      <c r="AZ21" s="318"/>
      <c r="BA21" s="318"/>
      <c r="BB21" s="318"/>
      <c r="BC21" s="318"/>
      <c r="BD21" s="318"/>
      <c r="BE21" s="318"/>
      <c r="BF21" s="318"/>
      <c r="BG21" s="332">
        <f>(AU21*'Condition rating weights'!H$8+AV21*'Condition rating weights'!I$8+AW21*'Condition rating weights'!J$8+AX21*'Condition rating weights'!K$8+AY21*'Condition rating weights'!L$8+AZ21*'Condition rating weights'!M$8+BA21*'Condition rating weights'!N$8+BB21*'Condition rating weights'!O$8+BC21*'Condition rating weights'!P$8+BD21*'Condition rating weights'!Q$8+BE21*'Condition rating weights'!R$8+BF21*'Condition rating weights'!S$8)/100</f>
        <v>0</v>
      </c>
      <c r="BH21" s="333"/>
      <c r="BI21" s="333"/>
      <c r="BJ21" s="333"/>
      <c r="BK21" s="333"/>
      <c r="BL21" s="333"/>
      <c r="BM21" s="333"/>
      <c r="BN21" s="333"/>
      <c r="BO21" s="333"/>
      <c r="BP21" s="333"/>
      <c r="BQ21" s="333"/>
      <c r="BR21" s="333"/>
      <c r="BS21" s="333"/>
      <c r="BT21" s="334"/>
      <c r="BU21" s="335"/>
      <c r="BV21" s="255"/>
      <c r="BY21" s="144"/>
      <c r="BZ21" s="144"/>
      <c r="CA21" s="144"/>
      <c r="CB21" s="144"/>
      <c r="CC21" s="144"/>
      <c r="CD21" s="144"/>
      <c r="CE21" s="144"/>
      <c r="CF21" s="144"/>
      <c r="CG21" s="144"/>
      <c r="CH21" s="378" t="e">
        <f t="shared" si="16"/>
        <v>#N/A</v>
      </c>
      <c r="CI21" s="378" t="e">
        <f t="shared" si="17"/>
        <v>#N/A</v>
      </c>
      <c r="CJ21" s="378" t="e">
        <f t="shared" si="18"/>
        <v>#N/A</v>
      </c>
      <c r="CK21" s="378" t="e">
        <f t="shared" si="19"/>
        <v>#N/A</v>
      </c>
      <c r="CL21" s="378" t="e">
        <f t="shared" si="20"/>
        <v>#N/A</v>
      </c>
      <c r="CM21" s="378" t="e">
        <f t="shared" si="21"/>
        <v>#N/A</v>
      </c>
      <c r="CN21" s="378" t="e">
        <f t="shared" si="22"/>
        <v>#N/A</v>
      </c>
      <c r="CO21" s="378" t="e">
        <f t="shared" si="23"/>
        <v>#N/A</v>
      </c>
      <c r="CP21" s="378" t="e">
        <f t="shared" si="24"/>
        <v>#N/A</v>
      </c>
      <c r="CQ21" s="378" t="e">
        <f t="shared" si="25"/>
        <v>#N/A</v>
      </c>
      <c r="CR21" s="354" t="e">
        <f t="shared" si="26"/>
        <v>#N/A</v>
      </c>
      <c r="CS21" s="379" t="e">
        <f>(HLOOKUP($AI21,'Inflation Adjustments'!$B$3:$BT$4,2,TRUE))*CH21</f>
        <v>#N/A</v>
      </c>
      <c r="CT21" s="379" t="e">
        <f>(HLOOKUP($AI21,'Inflation Adjustments'!$B$3:$BT$4,2,TRUE))*CI21</f>
        <v>#N/A</v>
      </c>
      <c r="CU21" s="379" t="e">
        <f>(HLOOKUP($AI21,'Inflation Adjustments'!$B$3:$BT$4,2,TRUE))*CJ21</f>
        <v>#N/A</v>
      </c>
      <c r="CV21" s="379" t="e">
        <f>(HLOOKUP($AI21,'Inflation Adjustments'!$B$3:$BT$4,2,TRUE))*CK21</f>
        <v>#N/A</v>
      </c>
      <c r="CW21" s="379" t="e">
        <f>(HLOOKUP($AI21,'Inflation Adjustments'!$B$3:$BT$4,2,TRUE))*CL21</f>
        <v>#N/A</v>
      </c>
      <c r="CX21" s="379" t="e">
        <f>(HLOOKUP($AI21,'Inflation Adjustments'!$B$3:$BT$4,2,TRUE))*CM21</f>
        <v>#N/A</v>
      </c>
      <c r="CY21" s="379" t="e">
        <f>(HLOOKUP($AI21,'Inflation Adjustments'!$B$3:$BT$4,2,TRUE))*CN21</f>
        <v>#N/A</v>
      </c>
      <c r="CZ21" s="379" t="e">
        <f>(HLOOKUP($AI21,'Inflation Adjustments'!$B$3:$BT$4,2,TRUE))*CO21</f>
        <v>#N/A</v>
      </c>
      <c r="DA21" s="379" t="e">
        <f>(HLOOKUP($AI21,'Inflation Adjustments'!$B$3:$BT$4,2,TRUE))*CP21</f>
        <v>#N/A</v>
      </c>
      <c r="DB21" s="379" t="e">
        <f>(HLOOKUP($AI21,'Inflation Adjustments'!$B$3:$BT$4,2,TRUE))*CQ21</f>
        <v>#N/A</v>
      </c>
      <c r="DC21" s="379" t="e">
        <f t="shared" si="27"/>
        <v>#N/A</v>
      </c>
      <c r="DD21" s="354">
        <f t="shared" si="28"/>
        <v>2022</v>
      </c>
      <c r="DE21" s="378" t="e">
        <f t="shared" si="29"/>
        <v>#N/A</v>
      </c>
      <c r="DF21" s="378" t="e">
        <f t="shared" si="30"/>
        <v>#N/A</v>
      </c>
      <c r="DG21" s="378" t="e">
        <f t="shared" si="31"/>
        <v>#N/A</v>
      </c>
      <c r="DH21" s="378" t="e">
        <f t="shared" si="32"/>
        <v>#N/A</v>
      </c>
      <c r="DI21" s="378" t="e">
        <f t="shared" si="33"/>
        <v>#N/A</v>
      </c>
      <c r="DJ21" s="378" t="e">
        <f t="shared" si="34"/>
        <v>#N/A</v>
      </c>
      <c r="DK21" s="378" t="e">
        <f t="shared" si="35"/>
        <v>#N/A</v>
      </c>
      <c r="DL21" s="378" t="e">
        <f t="shared" si="35"/>
        <v>#N/A</v>
      </c>
      <c r="DM21" s="378" t="e">
        <f t="shared" si="36"/>
        <v>#N/A</v>
      </c>
      <c r="DN21" s="378" t="e">
        <f t="shared" si="37"/>
        <v>#N/A</v>
      </c>
      <c r="DO21" s="380" t="e">
        <f t="shared" si="38"/>
        <v>#N/A</v>
      </c>
      <c r="DP21" s="380" t="e">
        <f t="shared" si="38"/>
        <v>#N/A</v>
      </c>
      <c r="DQ21" s="380" t="e">
        <f t="shared" si="38"/>
        <v>#N/A</v>
      </c>
      <c r="DR21" s="380" t="e">
        <f t="shared" si="38"/>
        <v>#N/A</v>
      </c>
      <c r="DS21" s="380" t="e">
        <f t="shared" si="38"/>
        <v>#N/A</v>
      </c>
      <c r="DT21" s="380" t="e">
        <f t="shared" si="38"/>
        <v>#N/A</v>
      </c>
      <c r="DU21" s="380" t="e">
        <f t="shared" si="38"/>
        <v>#N/A</v>
      </c>
      <c r="DV21" s="380" t="e">
        <f t="shared" si="38"/>
        <v>#N/A</v>
      </c>
      <c r="DW21" s="380" t="e">
        <f t="shared" si="38"/>
        <v>#N/A</v>
      </c>
      <c r="DX21" s="380" t="e">
        <f t="shared" si="38"/>
        <v>#N/A</v>
      </c>
      <c r="DY21" s="380" t="e">
        <f t="shared" si="40"/>
        <v>#N/A</v>
      </c>
      <c r="DZ21" s="378" t="e">
        <f t="shared" si="41"/>
        <v>#N/A</v>
      </c>
      <c r="EA21" s="378" t="e">
        <f t="shared" si="41"/>
        <v>#N/A</v>
      </c>
      <c r="EB21" s="378" t="e">
        <f t="shared" si="41"/>
        <v>#N/A</v>
      </c>
      <c r="EC21" s="378" t="e">
        <f t="shared" si="41"/>
        <v>#N/A</v>
      </c>
      <c r="ED21" s="378" t="e">
        <f t="shared" si="41"/>
        <v>#N/A</v>
      </c>
      <c r="EE21" s="378" t="e">
        <f t="shared" si="41"/>
        <v>#N/A</v>
      </c>
      <c r="EF21" s="378" t="e">
        <f t="shared" si="41"/>
        <v>#N/A</v>
      </c>
      <c r="EG21" s="378" t="e">
        <f t="shared" si="41"/>
        <v>#N/A</v>
      </c>
      <c r="EH21" s="378" t="e">
        <f t="shared" si="41"/>
        <v>#N/A</v>
      </c>
      <c r="EI21" s="378" t="e">
        <f t="shared" si="41"/>
        <v>#N/A</v>
      </c>
      <c r="EJ21" s="354" t="e">
        <f t="shared" si="43"/>
        <v>#N/A</v>
      </c>
      <c r="EK21" s="380" t="e">
        <f t="shared" si="44"/>
        <v>#N/A</v>
      </c>
      <c r="EL21" s="380" t="e">
        <f t="shared" si="44"/>
        <v>#N/A</v>
      </c>
      <c r="EM21" s="380" t="e">
        <f t="shared" si="44"/>
        <v>#N/A</v>
      </c>
      <c r="EN21" s="380" t="e">
        <f t="shared" si="44"/>
        <v>#N/A</v>
      </c>
      <c r="EO21" s="380" t="e">
        <f t="shared" si="44"/>
        <v>#N/A</v>
      </c>
      <c r="EP21" s="380" t="e">
        <f t="shared" si="44"/>
        <v>#N/A</v>
      </c>
      <c r="EQ21" s="380" t="e">
        <f t="shared" si="44"/>
        <v>#N/A</v>
      </c>
      <c r="ER21" s="380" t="e">
        <f t="shared" si="44"/>
        <v>#N/A</v>
      </c>
      <c r="ES21" s="380" t="e">
        <f t="shared" si="44"/>
        <v>#N/A</v>
      </c>
      <c r="ET21" s="380" t="e">
        <f t="shared" si="44"/>
        <v>#N/A</v>
      </c>
      <c r="EU21" s="379" t="e">
        <f t="shared" si="46"/>
        <v>#N/A</v>
      </c>
      <c r="EV21" s="382"/>
      <c r="EW21" s="382"/>
      <c r="EX21" s="382"/>
      <c r="EY21" s="382"/>
      <c r="EZ21" s="382"/>
      <c r="FA21" s="382"/>
      <c r="FB21" s="382"/>
      <c r="FE21" s="583" t="s">
        <v>1659</v>
      </c>
      <c r="FF21" s="583"/>
      <c r="FG21" s="583"/>
      <c r="FH21" s="583"/>
    </row>
    <row r="22" spans="1:165" ht="35" customHeight="1" x14ac:dyDescent="0.3">
      <c r="A22" s="330"/>
      <c r="B22" s="318"/>
      <c r="C22" s="318"/>
      <c r="D22" s="318"/>
      <c r="E22" s="318"/>
      <c r="F22" s="318"/>
      <c r="G22" s="318"/>
      <c r="H22" s="318"/>
      <c r="I22" s="318"/>
      <c r="J22" s="318"/>
      <c r="K22" s="318"/>
      <c r="L22" s="318"/>
      <c r="M22" s="318"/>
      <c r="N22" s="318"/>
      <c r="O22" s="318"/>
      <c r="P22" s="318"/>
      <c r="Q22" s="318"/>
      <c r="R22" s="318"/>
      <c r="S22" s="318"/>
      <c r="T22" s="318"/>
      <c r="U22" s="318"/>
      <c r="V22" s="318"/>
      <c r="W22" s="318"/>
      <c r="X22" s="318"/>
      <c r="Y22" s="318"/>
      <c r="Z22" s="318"/>
      <c r="AA22" s="318"/>
      <c r="AB22" s="318"/>
      <c r="AC22" s="318"/>
      <c r="AD22" s="318"/>
      <c r="AE22" s="318"/>
      <c r="AF22" s="318"/>
      <c r="AG22" s="318"/>
      <c r="AH22" s="318"/>
      <c r="AI22" s="318"/>
      <c r="AJ22" s="318"/>
      <c r="AK22" s="318"/>
      <c r="AL22" s="318"/>
      <c r="AM22" s="317"/>
      <c r="AN22" s="318"/>
      <c r="AO22" s="317"/>
      <c r="AP22" s="317"/>
      <c r="AQ22" s="317"/>
      <c r="AR22" s="317"/>
      <c r="AS22" s="317"/>
      <c r="AT22" s="317"/>
      <c r="AU22" s="318"/>
      <c r="AV22" s="318"/>
      <c r="AW22" s="318"/>
      <c r="AX22" s="318"/>
      <c r="AY22" s="318"/>
      <c r="AZ22" s="318"/>
      <c r="BA22" s="318"/>
      <c r="BB22" s="318"/>
      <c r="BC22" s="318"/>
      <c r="BD22" s="318"/>
      <c r="BE22" s="318"/>
      <c r="BF22" s="318"/>
      <c r="BG22" s="332">
        <f>(AU22*'Condition rating weights'!H$8+AV22*'Condition rating weights'!I$8+AW22*'Condition rating weights'!J$8+AX22*'Condition rating weights'!K$8+AY22*'Condition rating weights'!L$8+AZ22*'Condition rating weights'!M$8+BA22*'Condition rating weights'!N$8+BB22*'Condition rating weights'!O$8+BC22*'Condition rating weights'!P$8+BD22*'Condition rating weights'!Q$8+BE22*'Condition rating weights'!R$8+BF22*'Condition rating weights'!S$8)/100</f>
        <v>0</v>
      </c>
      <c r="BH22" s="333"/>
      <c r="BI22" s="333"/>
      <c r="BJ22" s="333"/>
      <c r="BK22" s="333"/>
      <c r="BL22" s="333"/>
      <c r="BM22" s="333"/>
      <c r="BN22" s="333"/>
      <c r="BO22" s="333"/>
      <c r="BP22" s="333"/>
      <c r="BQ22" s="333"/>
      <c r="BR22" s="333"/>
      <c r="BS22" s="333"/>
      <c r="BT22" s="334"/>
      <c r="BU22" s="335"/>
      <c r="BV22" s="255"/>
      <c r="BY22" s="144"/>
      <c r="BZ22" s="144"/>
      <c r="CA22" s="144"/>
      <c r="CB22" s="144"/>
      <c r="CC22" s="144"/>
      <c r="CD22" s="144"/>
      <c r="CE22" s="144"/>
      <c r="CF22" s="144"/>
      <c r="CG22" s="144"/>
      <c r="CH22" s="378" t="e">
        <f t="shared" si="16"/>
        <v>#N/A</v>
      </c>
      <c r="CI22" s="378" t="e">
        <f t="shared" si="17"/>
        <v>#N/A</v>
      </c>
      <c r="CJ22" s="378" t="e">
        <f t="shared" si="18"/>
        <v>#N/A</v>
      </c>
      <c r="CK22" s="378" t="e">
        <f t="shared" si="19"/>
        <v>#N/A</v>
      </c>
      <c r="CL22" s="378" t="e">
        <f t="shared" si="20"/>
        <v>#N/A</v>
      </c>
      <c r="CM22" s="378" t="e">
        <f t="shared" si="21"/>
        <v>#N/A</v>
      </c>
      <c r="CN22" s="378" t="e">
        <f t="shared" si="22"/>
        <v>#N/A</v>
      </c>
      <c r="CO22" s="378" t="e">
        <f t="shared" si="23"/>
        <v>#N/A</v>
      </c>
      <c r="CP22" s="378" t="e">
        <f t="shared" si="24"/>
        <v>#N/A</v>
      </c>
      <c r="CQ22" s="378" t="e">
        <f t="shared" si="25"/>
        <v>#N/A</v>
      </c>
      <c r="CR22" s="354" t="e">
        <f t="shared" si="26"/>
        <v>#N/A</v>
      </c>
      <c r="CS22" s="379" t="e">
        <f>(HLOOKUP($AI22,'Inflation Adjustments'!$B$3:$BT$4,2,TRUE))*CH22</f>
        <v>#N/A</v>
      </c>
      <c r="CT22" s="379" t="e">
        <f>(HLOOKUP($AI22,'Inflation Adjustments'!$B$3:$BT$4,2,TRUE))*CI22</f>
        <v>#N/A</v>
      </c>
      <c r="CU22" s="379" t="e">
        <f>(HLOOKUP($AI22,'Inflation Adjustments'!$B$3:$BT$4,2,TRUE))*CJ22</f>
        <v>#N/A</v>
      </c>
      <c r="CV22" s="379" t="e">
        <f>(HLOOKUP($AI22,'Inflation Adjustments'!$B$3:$BT$4,2,TRUE))*CK22</f>
        <v>#N/A</v>
      </c>
      <c r="CW22" s="379" t="e">
        <f>(HLOOKUP($AI22,'Inflation Adjustments'!$B$3:$BT$4,2,TRUE))*CL22</f>
        <v>#N/A</v>
      </c>
      <c r="CX22" s="379" t="e">
        <f>(HLOOKUP($AI22,'Inflation Adjustments'!$B$3:$BT$4,2,TRUE))*CM22</f>
        <v>#N/A</v>
      </c>
      <c r="CY22" s="379" t="e">
        <f>(HLOOKUP($AI22,'Inflation Adjustments'!$B$3:$BT$4,2,TRUE))*CN22</f>
        <v>#N/A</v>
      </c>
      <c r="CZ22" s="379" t="e">
        <f>(HLOOKUP($AI22,'Inflation Adjustments'!$B$3:$BT$4,2,TRUE))*CO22</f>
        <v>#N/A</v>
      </c>
      <c r="DA22" s="379" t="e">
        <f>(HLOOKUP($AI22,'Inflation Adjustments'!$B$3:$BT$4,2,TRUE))*CP22</f>
        <v>#N/A</v>
      </c>
      <c r="DB22" s="379" t="e">
        <f>(HLOOKUP($AI22,'Inflation Adjustments'!$B$3:$BT$4,2,TRUE))*CQ22</f>
        <v>#N/A</v>
      </c>
      <c r="DC22" s="379" t="e">
        <f t="shared" si="27"/>
        <v>#N/A</v>
      </c>
      <c r="DD22" s="354">
        <f t="shared" si="28"/>
        <v>2022</v>
      </c>
      <c r="DE22" s="378" t="e">
        <f t="shared" si="29"/>
        <v>#N/A</v>
      </c>
      <c r="DF22" s="378" t="e">
        <f t="shared" si="30"/>
        <v>#N/A</v>
      </c>
      <c r="DG22" s="378" t="e">
        <f t="shared" si="31"/>
        <v>#N/A</v>
      </c>
      <c r="DH22" s="378" t="e">
        <f t="shared" si="32"/>
        <v>#N/A</v>
      </c>
      <c r="DI22" s="378" t="e">
        <f t="shared" si="33"/>
        <v>#N/A</v>
      </c>
      <c r="DJ22" s="378" t="e">
        <f t="shared" si="34"/>
        <v>#N/A</v>
      </c>
      <c r="DK22" s="378" t="e">
        <f t="shared" si="35"/>
        <v>#N/A</v>
      </c>
      <c r="DL22" s="378" t="e">
        <f t="shared" si="35"/>
        <v>#N/A</v>
      </c>
      <c r="DM22" s="378" t="e">
        <f t="shared" si="36"/>
        <v>#N/A</v>
      </c>
      <c r="DN22" s="378" t="e">
        <f t="shared" si="37"/>
        <v>#N/A</v>
      </c>
      <c r="DO22" s="380" t="e">
        <f t="shared" si="38"/>
        <v>#N/A</v>
      </c>
      <c r="DP22" s="380" t="e">
        <f t="shared" si="38"/>
        <v>#N/A</v>
      </c>
      <c r="DQ22" s="380" t="e">
        <f t="shared" si="38"/>
        <v>#N/A</v>
      </c>
      <c r="DR22" s="380" t="e">
        <f t="shared" si="38"/>
        <v>#N/A</v>
      </c>
      <c r="DS22" s="380" t="e">
        <f t="shared" si="38"/>
        <v>#N/A</v>
      </c>
      <c r="DT22" s="380" t="e">
        <f t="shared" si="38"/>
        <v>#N/A</v>
      </c>
      <c r="DU22" s="380" t="e">
        <f t="shared" si="38"/>
        <v>#N/A</v>
      </c>
      <c r="DV22" s="380" t="e">
        <f t="shared" si="38"/>
        <v>#N/A</v>
      </c>
      <c r="DW22" s="380" t="e">
        <f t="shared" si="38"/>
        <v>#N/A</v>
      </c>
      <c r="DX22" s="380" t="e">
        <f t="shared" si="38"/>
        <v>#N/A</v>
      </c>
      <c r="DY22" s="380" t="e">
        <f t="shared" si="40"/>
        <v>#N/A</v>
      </c>
      <c r="DZ22" s="378" t="e">
        <f t="shared" si="41"/>
        <v>#N/A</v>
      </c>
      <c r="EA22" s="378" t="e">
        <f t="shared" si="41"/>
        <v>#N/A</v>
      </c>
      <c r="EB22" s="378" t="e">
        <f t="shared" si="41"/>
        <v>#N/A</v>
      </c>
      <c r="EC22" s="378" t="e">
        <f t="shared" si="41"/>
        <v>#N/A</v>
      </c>
      <c r="ED22" s="378" t="e">
        <f t="shared" si="41"/>
        <v>#N/A</v>
      </c>
      <c r="EE22" s="378" t="e">
        <f t="shared" si="41"/>
        <v>#N/A</v>
      </c>
      <c r="EF22" s="378" t="e">
        <f t="shared" si="41"/>
        <v>#N/A</v>
      </c>
      <c r="EG22" s="378" t="e">
        <f t="shared" si="41"/>
        <v>#N/A</v>
      </c>
      <c r="EH22" s="378" t="e">
        <f t="shared" si="41"/>
        <v>#N/A</v>
      </c>
      <c r="EI22" s="378" t="e">
        <f t="shared" si="41"/>
        <v>#N/A</v>
      </c>
      <c r="EJ22" s="354" t="e">
        <f t="shared" si="43"/>
        <v>#N/A</v>
      </c>
      <c r="EK22" s="380" t="e">
        <f t="shared" si="44"/>
        <v>#N/A</v>
      </c>
      <c r="EL22" s="380" t="e">
        <f t="shared" si="44"/>
        <v>#N/A</v>
      </c>
      <c r="EM22" s="380" t="e">
        <f t="shared" si="44"/>
        <v>#N/A</v>
      </c>
      <c r="EN22" s="380" t="e">
        <f t="shared" si="44"/>
        <v>#N/A</v>
      </c>
      <c r="EO22" s="380" t="e">
        <f t="shared" si="44"/>
        <v>#N/A</v>
      </c>
      <c r="EP22" s="380" t="e">
        <f t="shared" si="44"/>
        <v>#N/A</v>
      </c>
      <c r="EQ22" s="380" t="e">
        <f t="shared" si="44"/>
        <v>#N/A</v>
      </c>
      <c r="ER22" s="380" t="e">
        <f t="shared" si="44"/>
        <v>#N/A</v>
      </c>
      <c r="ES22" s="380" t="e">
        <f t="shared" si="44"/>
        <v>#N/A</v>
      </c>
      <c r="ET22" s="380" t="e">
        <f t="shared" si="44"/>
        <v>#N/A</v>
      </c>
      <c r="EU22" s="379" t="e">
        <f t="shared" si="46"/>
        <v>#N/A</v>
      </c>
      <c r="EV22" s="382"/>
      <c r="EW22" s="382"/>
      <c r="EX22" s="382"/>
      <c r="EY22" s="382"/>
      <c r="EZ22" s="382"/>
      <c r="FA22" s="382"/>
      <c r="FB22" s="382"/>
      <c r="FE22" s="583" t="s">
        <v>1659</v>
      </c>
      <c r="FF22" s="583"/>
      <c r="FG22" s="583"/>
      <c r="FH22" s="583"/>
    </row>
    <row r="23" spans="1:165" ht="35" customHeight="1" x14ac:dyDescent="0.3">
      <c r="A23" s="330"/>
      <c r="B23" s="318"/>
      <c r="C23" s="318"/>
      <c r="D23" s="318"/>
      <c r="E23" s="318"/>
      <c r="F23" s="318"/>
      <c r="G23" s="318"/>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c r="AH23" s="318"/>
      <c r="AI23" s="318"/>
      <c r="AJ23" s="318"/>
      <c r="AK23" s="318"/>
      <c r="AL23" s="318"/>
      <c r="AM23" s="317"/>
      <c r="AN23" s="318"/>
      <c r="AO23" s="317"/>
      <c r="AP23" s="317"/>
      <c r="AQ23" s="317"/>
      <c r="AR23" s="317"/>
      <c r="AS23" s="317"/>
      <c r="AT23" s="317"/>
      <c r="AU23" s="318"/>
      <c r="AV23" s="318"/>
      <c r="AW23" s="318"/>
      <c r="AX23" s="318"/>
      <c r="AY23" s="318"/>
      <c r="AZ23" s="318"/>
      <c r="BA23" s="318"/>
      <c r="BB23" s="318"/>
      <c r="BC23" s="318"/>
      <c r="BD23" s="318"/>
      <c r="BE23" s="318"/>
      <c r="BF23" s="318"/>
      <c r="BG23" s="332">
        <f>(AU23*'Condition rating weights'!H$8+AV23*'Condition rating weights'!I$8+AW23*'Condition rating weights'!J$8+AX23*'Condition rating weights'!K$8+AY23*'Condition rating weights'!L$8+AZ23*'Condition rating weights'!M$8+BA23*'Condition rating weights'!N$8+BB23*'Condition rating weights'!O$8+BC23*'Condition rating weights'!P$8+BD23*'Condition rating weights'!Q$8+BE23*'Condition rating weights'!R$8+BF23*'Condition rating weights'!S$8)/100</f>
        <v>0</v>
      </c>
      <c r="BH23" s="333"/>
      <c r="BI23" s="333"/>
      <c r="BJ23" s="333"/>
      <c r="BK23" s="333"/>
      <c r="BL23" s="333"/>
      <c r="BM23" s="333"/>
      <c r="BN23" s="333"/>
      <c r="BO23" s="333"/>
      <c r="BP23" s="333"/>
      <c r="BQ23" s="333"/>
      <c r="BR23" s="333"/>
      <c r="BS23" s="333"/>
      <c r="BT23" s="334"/>
      <c r="BU23" s="335"/>
      <c r="BV23" s="255"/>
      <c r="BY23" s="144"/>
      <c r="BZ23" s="144"/>
      <c r="CA23" s="144"/>
      <c r="CB23" s="144"/>
      <c r="CC23" s="144"/>
      <c r="CD23" s="144"/>
      <c r="CE23" s="144"/>
      <c r="CF23" s="144"/>
      <c r="CG23" s="144"/>
      <c r="CH23" s="378" t="e">
        <f t="shared" si="16"/>
        <v>#N/A</v>
      </c>
      <c r="CI23" s="378" t="e">
        <f t="shared" si="17"/>
        <v>#N/A</v>
      </c>
      <c r="CJ23" s="378" t="e">
        <f t="shared" si="18"/>
        <v>#N/A</v>
      </c>
      <c r="CK23" s="378" t="e">
        <f t="shared" si="19"/>
        <v>#N/A</v>
      </c>
      <c r="CL23" s="378" t="e">
        <f t="shared" si="20"/>
        <v>#N/A</v>
      </c>
      <c r="CM23" s="378" t="e">
        <f t="shared" si="21"/>
        <v>#N/A</v>
      </c>
      <c r="CN23" s="378" t="e">
        <f t="shared" si="22"/>
        <v>#N/A</v>
      </c>
      <c r="CO23" s="378" t="e">
        <f t="shared" si="23"/>
        <v>#N/A</v>
      </c>
      <c r="CP23" s="378" t="e">
        <f t="shared" si="24"/>
        <v>#N/A</v>
      </c>
      <c r="CQ23" s="378" t="e">
        <f t="shared" si="25"/>
        <v>#N/A</v>
      </c>
      <c r="CR23" s="354" t="e">
        <f>SUM(CH23:CQ23)</f>
        <v>#N/A</v>
      </c>
      <c r="CS23" s="379" t="e">
        <f>(HLOOKUP($AI23,'Inflation Adjustments'!$B$3:$BT$4,2,TRUE))*CH23</f>
        <v>#N/A</v>
      </c>
      <c r="CT23" s="379" t="e">
        <f>(HLOOKUP($AI23,'Inflation Adjustments'!$B$3:$BT$4,2,TRUE))*CI23</f>
        <v>#N/A</v>
      </c>
      <c r="CU23" s="379" t="e">
        <f>(HLOOKUP($AI23,'Inflation Adjustments'!$B$3:$BT$4,2,TRUE))*CJ23</f>
        <v>#N/A</v>
      </c>
      <c r="CV23" s="379" t="e">
        <f>(HLOOKUP($AI23,'Inflation Adjustments'!$B$3:$BT$4,2,TRUE))*CK23</f>
        <v>#N/A</v>
      </c>
      <c r="CW23" s="379" t="e">
        <f>(HLOOKUP($AI23,'Inflation Adjustments'!$B$3:$BT$4,2,TRUE))*CL23</f>
        <v>#N/A</v>
      </c>
      <c r="CX23" s="379" t="e">
        <f>(HLOOKUP($AI23,'Inflation Adjustments'!$B$3:$BT$4,2,TRUE))*CM23</f>
        <v>#N/A</v>
      </c>
      <c r="CY23" s="379" t="e">
        <f>(HLOOKUP($AI23,'Inflation Adjustments'!$B$3:$BT$4,2,TRUE))*CN23</f>
        <v>#N/A</v>
      </c>
      <c r="CZ23" s="379" t="e">
        <f>(HLOOKUP($AI23,'Inflation Adjustments'!$B$3:$BT$4,2,TRUE))*CO23</f>
        <v>#N/A</v>
      </c>
      <c r="DA23" s="379" t="e">
        <f>(HLOOKUP($AI23,'Inflation Adjustments'!$B$3:$BT$4,2,TRUE))*CP23</f>
        <v>#N/A</v>
      </c>
      <c r="DB23" s="379" t="e">
        <f>(HLOOKUP($AI23,'Inflation Adjustments'!$B$3:$BT$4,2,TRUE))*CQ23</f>
        <v>#N/A</v>
      </c>
      <c r="DC23" s="379" t="e">
        <f t="shared" si="27"/>
        <v>#N/A</v>
      </c>
      <c r="DD23" s="354">
        <f t="shared" si="28"/>
        <v>2022</v>
      </c>
      <c r="DE23" s="378" t="e">
        <f t="shared" si="29"/>
        <v>#N/A</v>
      </c>
      <c r="DF23" s="378" t="e">
        <f t="shared" si="30"/>
        <v>#N/A</v>
      </c>
      <c r="DG23" s="378" t="e">
        <f t="shared" si="31"/>
        <v>#N/A</v>
      </c>
      <c r="DH23" s="378" t="e">
        <f t="shared" si="32"/>
        <v>#N/A</v>
      </c>
      <c r="DI23" s="378" t="e">
        <f t="shared" si="33"/>
        <v>#N/A</v>
      </c>
      <c r="DJ23" s="378" t="e">
        <f t="shared" si="34"/>
        <v>#N/A</v>
      </c>
      <c r="DK23" s="378" t="e">
        <f t="shared" si="35"/>
        <v>#N/A</v>
      </c>
      <c r="DL23" s="378" t="e">
        <f t="shared" si="35"/>
        <v>#N/A</v>
      </c>
      <c r="DM23" s="378" t="e">
        <f t="shared" si="36"/>
        <v>#N/A</v>
      </c>
      <c r="DN23" s="378" t="e">
        <f t="shared" si="37"/>
        <v>#N/A</v>
      </c>
      <c r="DO23" s="380" t="e">
        <f t="shared" ref="DO23:DX34" si="47">CS23/DE23</f>
        <v>#N/A</v>
      </c>
      <c r="DP23" s="380" t="e">
        <f t="shared" si="47"/>
        <v>#N/A</v>
      </c>
      <c r="DQ23" s="380" t="e">
        <f t="shared" si="47"/>
        <v>#N/A</v>
      </c>
      <c r="DR23" s="380" t="e">
        <f t="shared" si="47"/>
        <v>#N/A</v>
      </c>
      <c r="DS23" s="380" t="e">
        <f t="shared" si="47"/>
        <v>#N/A</v>
      </c>
      <c r="DT23" s="380" t="e">
        <f t="shared" si="47"/>
        <v>#N/A</v>
      </c>
      <c r="DU23" s="380" t="e">
        <f t="shared" si="47"/>
        <v>#N/A</v>
      </c>
      <c r="DV23" s="380" t="e">
        <f t="shared" si="47"/>
        <v>#N/A</v>
      </c>
      <c r="DW23" s="380" t="e">
        <f t="shared" si="47"/>
        <v>#N/A</v>
      </c>
      <c r="DX23" s="380" t="e">
        <f t="shared" si="47"/>
        <v>#N/A</v>
      </c>
      <c r="DY23" s="380" t="e">
        <f>SUM(DO23:DX23)</f>
        <v>#N/A</v>
      </c>
      <c r="DZ23" s="378" t="e">
        <f t="shared" ref="DZ23:EI34" si="48">IF(DO23*$DD23&gt;CS23,CS23,DO23*$DD23)</f>
        <v>#N/A</v>
      </c>
      <c r="EA23" s="378" t="e">
        <f t="shared" si="48"/>
        <v>#N/A</v>
      </c>
      <c r="EB23" s="378" t="e">
        <f t="shared" si="48"/>
        <v>#N/A</v>
      </c>
      <c r="EC23" s="378" t="e">
        <f t="shared" si="48"/>
        <v>#N/A</v>
      </c>
      <c r="ED23" s="378" t="e">
        <f t="shared" si="48"/>
        <v>#N/A</v>
      </c>
      <c r="EE23" s="378" t="e">
        <f t="shared" si="48"/>
        <v>#N/A</v>
      </c>
      <c r="EF23" s="378" t="e">
        <f t="shared" si="48"/>
        <v>#N/A</v>
      </c>
      <c r="EG23" s="378" t="e">
        <f t="shared" si="48"/>
        <v>#N/A</v>
      </c>
      <c r="EH23" s="378" t="e">
        <f t="shared" si="48"/>
        <v>#N/A</v>
      </c>
      <c r="EI23" s="378" t="e">
        <f t="shared" si="48"/>
        <v>#N/A</v>
      </c>
      <c r="EJ23" s="354" t="e">
        <f>SUM(DZ23:EI23)</f>
        <v>#N/A</v>
      </c>
      <c r="EK23" s="380" t="e">
        <f t="shared" ref="EK23:ET34" si="49">IF(DO23&lt;(CS23-DZ23),DO23,(CS23-DZ23))</f>
        <v>#N/A</v>
      </c>
      <c r="EL23" s="380" t="e">
        <f t="shared" si="49"/>
        <v>#N/A</v>
      </c>
      <c r="EM23" s="380" t="e">
        <f t="shared" si="49"/>
        <v>#N/A</v>
      </c>
      <c r="EN23" s="380" t="e">
        <f t="shared" si="49"/>
        <v>#N/A</v>
      </c>
      <c r="EO23" s="380" t="e">
        <f t="shared" si="49"/>
        <v>#N/A</v>
      </c>
      <c r="EP23" s="380" t="e">
        <f t="shared" si="49"/>
        <v>#N/A</v>
      </c>
      <c r="EQ23" s="380" t="e">
        <f t="shared" si="49"/>
        <v>#N/A</v>
      </c>
      <c r="ER23" s="380" t="e">
        <f t="shared" si="49"/>
        <v>#N/A</v>
      </c>
      <c r="ES23" s="380" t="e">
        <f t="shared" si="49"/>
        <v>#N/A</v>
      </c>
      <c r="ET23" s="380" t="e">
        <f t="shared" si="49"/>
        <v>#N/A</v>
      </c>
      <c r="EU23" s="379" t="e">
        <f>SUM(EK23:ET23)</f>
        <v>#N/A</v>
      </c>
      <c r="EV23" s="382"/>
      <c r="EW23" s="382"/>
      <c r="EX23" s="382"/>
      <c r="EY23" s="382"/>
      <c r="EZ23" s="382"/>
      <c r="FA23" s="382"/>
      <c r="FB23" s="382"/>
      <c r="FE23" s="583" t="s">
        <v>1659</v>
      </c>
      <c r="FF23" s="583"/>
      <c r="FG23" s="583"/>
      <c r="FH23" s="583"/>
    </row>
    <row r="24" spans="1:165" ht="35" customHeight="1" x14ac:dyDescent="0.3">
      <c r="A24" s="330"/>
      <c r="B24" s="331"/>
      <c r="C24" s="331"/>
      <c r="D24" s="331"/>
      <c r="E24" s="331"/>
      <c r="F24" s="331"/>
      <c r="G24" s="331"/>
      <c r="H24" s="331"/>
      <c r="I24" s="331"/>
      <c r="J24" s="331"/>
      <c r="K24" s="331"/>
      <c r="L24" s="331"/>
      <c r="M24" s="318"/>
      <c r="N24" s="331"/>
      <c r="O24" s="331"/>
      <c r="P24" s="331"/>
      <c r="Q24" s="331"/>
      <c r="R24" s="331"/>
      <c r="S24" s="331"/>
      <c r="T24" s="331"/>
      <c r="U24" s="331"/>
      <c r="V24" s="331"/>
      <c r="W24" s="331"/>
      <c r="X24" s="331"/>
      <c r="Y24" s="331"/>
      <c r="Z24" s="331"/>
      <c r="AA24" s="331"/>
      <c r="AB24" s="331"/>
      <c r="AC24" s="331"/>
      <c r="AD24" s="331"/>
      <c r="AE24" s="331"/>
      <c r="AF24" s="331"/>
      <c r="AG24" s="331"/>
      <c r="AH24" s="331"/>
      <c r="AI24" s="331"/>
      <c r="AJ24" s="331"/>
      <c r="AK24" s="331"/>
      <c r="AL24" s="331"/>
      <c r="AM24" s="413"/>
      <c r="AN24" s="331"/>
      <c r="AO24" s="413"/>
      <c r="AP24" s="413"/>
      <c r="AQ24" s="413"/>
      <c r="AR24" s="413"/>
      <c r="AS24" s="317"/>
      <c r="AT24" s="317"/>
      <c r="AU24" s="318"/>
      <c r="AV24" s="318"/>
      <c r="AW24" s="318"/>
      <c r="AX24" s="318"/>
      <c r="AY24" s="318"/>
      <c r="AZ24" s="318"/>
      <c r="BA24" s="331"/>
      <c r="BB24" s="331"/>
      <c r="BC24" s="331"/>
      <c r="BD24" s="331"/>
      <c r="BE24" s="331"/>
      <c r="BF24" s="318"/>
      <c r="BG24" s="332">
        <f>(AU24*'Condition rating weights'!H$8+AV24*'Condition rating weights'!I$8+AW24*'Condition rating weights'!J$8+AX24*'Condition rating weights'!K$8+AY24*'Condition rating weights'!L$8+AZ24*'Condition rating weights'!M$8+BA24*'Condition rating weights'!N$8+BB24*'Condition rating weights'!O$8+BC24*'Condition rating weights'!P$8+BD24*'Condition rating weights'!Q$8+BE24*'Condition rating weights'!R$8+BF24*'Condition rating weights'!S$8)/100</f>
        <v>0</v>
      </c>
      <c r="BH24" s="414"/>
      <c r="BI24" s="414"/>
      <c r="BJ24" s="414"/>
      <c r="BK24" s="414"/>
      <c r="BL24" s="414"/>
      <c r="BM24" s="414"/>
      <c r="BN24" s="414"/>
      <c r="BO24" s="414"/>
      <c r="BP24" s="414"/>
      <c r="BQ24" s="414"/>
      <c r="BR24" s="414"/>
      <c r="BS24" s="414"/>
      <c r="BT24" s="415"/>
      <c r="BU24" s="335"/>
      <c r="BV24" s="255"/>
      <c r="BY24" s="144"/>
      <c r="BZ24" s="144"/>
      <c r="CA24" s="144"/>
      <c r="CB24" s="144"/>
      <c r="CC24" s="144"/>
      <c r="CD24" s="144"/>
      <c r="CE24" s="144"/>
      <c r="CF24" s="144"/>
      <c r="CG24" s="144"/>
      <c r="CH24" s="378" t="e">
        <f t="shared" si="16"/>
        <v>#N/A</v>
      </c>
      <c r="CI24" s="378" t="e">
        <f t="shared" si="17"/>
        <v>#N/A</v>
      </c>
      <c r="CJ24" s="378" t="e">
        <f t="shared" si="18"/>
        <v>#N/A</v>
      </c>
      <c r="CK24" s="378" t="e">
        <f t="shared" si="19"/>
        <v>#N/A</v>
      </c>
      <c r="CL24" s="378" t="e">
        <f t="shared" si="20"/>
        <v>#N/A</v>
      </c>
      <c r="CM24" s="378" t="e">
        <f t="shared" si="21"/>
        <v>#N/A</v>
      </c>
      <c r="CN24" s="378" t="e">
        <f t="shared" si="22"/>
        <v>#N/A</v>
      </c>
      <c r="CO24" s="378" t="e">
        <f t="shared" si="23"/>
        <v>#N/A</v>
      </c>
      <c r="CP24" s="378" t="e">
        <f t="shared" si="24"/>
        <v>#N/A</v>
      </c>
      <c r="CQ24" s="378" t="e">
        <f t="shared" si="25"/>
        <v>#N/A</v>
      </c>
      <c r="CR24" s="354" t="e">
        <f>SUM(CH24:CQ24)</f>
        <v>#N/A</v>
      </c>
      <c r="CS24" s="379" t="e">
        <f>(HLOOKUP($AI24,'Inflation Adjustments'!$B$3:$BT$4,2,TRUE))*CH24</f>
        <v>#N/A</v>
      </c>
      <c r="CT24" s="379" t="e">
        <f>(HLOOKUP($AI24,'Inflation Adjustments'!$B$3:$BT$4,2,TRUE))*CI24</f>
        <v>#N/A</v>
      </c>
      <c r="CU24" s="379" t="e">
        <f>(HLOOKUP($AI24,'Inflation Adjustments'!$B$3:$BT$4,2,TRUE))*CJ24</f>
        <v>#N/A</v>
      </c>
      <c r="CV24" s="379" t="e">
        <f>(HLOOKUP($AI24,'Inflation Adjustments'!$B$3:$BT$4,2,TRUE))*CK24</f>
        <v>#N/A</v>
      </c>
      <c r="CW24" s="379" t="e">
        <f>(HLOOKUP($AI24,'Inflation Adjustments'!$B$3:$BT$4,2,TRUE))*CL24</f>
        <v>#N/A</v>
      </c>
      <c r="CX24" s="379" t="e">
        <f>(HLOOKUP($AI24,'Inflation Adjustments'!$B$3:$BT$4,2,TRUE))*CM24</f>
        <v>#N/A</v>
      </c>
      <c r="CY24" s="379" t="e">
        <f>(HLOOKUP($AI24,'Inflation Adjustments'!$B$3:$BT$4,2,TRUE))*CN24</f>
        <v>#N/A</v>
      </c>
      <c r="CZ24" s="379" t="e">
        <f>(HLOOKUP($AI24,'Inflation Adjustments'!$B$3:$BT$4,2,TRUE))*CO24</f>
        <v>#N/A</v>
      </c>
      <c r="DA24" s="379" t="e">
        <f>(HLOOKUP($AI24,'Inflation Adjustments'!$B$3:$BT$4,2,TRUE))*CP24</f>
        <v>#N/A</v>
      </c>
      <c r="DB24" s="379" t="e">
        <f>(HLOOKUP($AI24,'Inflation Adjustments'!$B$3:$BT$4,2,TRUE))*CQ24</f>
        <v>#N/A</v>
      </c>
      <c r="DC24" s="379" t="e">
        <f t="shared" si="27"/>
        <v>#N/A</v>
      </c>
      <c r="DD24" s="354">
        <f t="shared" si="28"/>
        <v>2022</v>
      </c>
      <c r="DE24" s="378" t="e">
        <f t="shared" si="29"/>
        <v>#N/A</v>
      </c>
      <c r="DF24" s="378" t="e">
        <f t="shared" si="30"/>
        <v>#N/A</v>
      </c>
      <c r="DG24" s="378" t="e">
        <f t="shared" si="31"/>
        <v>#N/A</v>
      </c>
      <c r="DH24" s="378" t="e">
        <f t="shared" si="32"/>
        <v>#N/A</v>
      </c>
      <c r="DI24" s="378" t="e">
        <f t="shared" si="33"/>
        <v>#N/A</v>
      </c>
      <c r="DJ24" s="378" t="e">
        <f t="shared" si="34"/>
        <v>#N/A</v>
      </c>
      <c r="DK24" s="378" t="e">
        <f t="shared" si="35"/>
        <v>#N/A</v>
      </c>
      <c r="DL24" s="378" t="e">
        <f t="shared" si="35"/>
        <v>#N/A</v>
      </c>
      <c r="DM24" s="378" t="e">
        <f t="shared" si="36"/>
        <v>#N/A</v>
      </c>
      <c r="DN24" s="378" t="e">
        <f t="shared" si="37"/>
        <v>#N/A</v>
      </c>
      <c r="DO24" s="380" t="e">
        <f t="shared" si="47"/>
        <v>#N/A</v>
      </c>
      <c r="DP24" s="380" t="e">
        <f t="shared" si="47"/>
        <v>#N/A</v>
      </c>
      <c r="DQ24" s="380" t="e">
        <f t="shared" si="47"/>
        <v>#N/A</v>
      </c>
      <c r="DR24" s="380" t="e">
        <f t="shared" si="47"/>
        <v>#N/A</v>
      </c>
      <c r="DS24" s="380" t="e">
        <f t="shared" si="47"/>
        <v>#N/A</v>
      </c>
      <c r="DT24" s="380" t="e">
        <f t="shared" si="47"/>
        <v>#N/A</v>
      </c>
      <c r="DU24" s="380" t="e">
        <f t="shared" si="47"/>
        <v>#N/A</v>
      </c>
      <c r="DV24" s="380" t="e">
        <f t="shared" si="47"/>
        <v>#N/A</v>
      </c>
      <c r="DW24" s="380" t="e">
        <f t="shared" si="47"/>
        <v>#N/A</v>
      </c>
      <c r="DX24" s="380" t="e">
        <f t="shared" si="47"/>
        <v>#N/A</v>
      </c>
      <c r="DY24" s="380" t="e">
        <f>SUM(DO24:DX24)</f>
        <v>#N/A</v>
      </c>
      <c r="DZ24" s="378" t="e">
        <f t="shared" si="48"/>
        <v>#N/A</v>
      </c>
      <c r="EA24" s="378" t="e">
        <f t="shared" si="48"/>
        <v>#N/A</v>
      </c>
      <c r="EB24" s="378" t="e">
        <f t="shared" si="48"/>
        <v>#N/A</v>
      </c>
      <c r="EC24" s="378" t="e">
        <f t="shared" si="48"/>
        <v>#N/A</v>
      </c>
      <c r="ED24" s="378" t="e">
        <f t="shared" si="48"/>
        <v>#N/A</v>
      </c>
      <c r="EE24" s="378" t="e">
        <f t="shared" si="48"/>
        <v>#N/A</v>
      </c>
      <c r="EF24" s="378" t="e">
        <f t="shared" si="48"/>
        <v>#N/A</v>
      </c>
      <c r="EG24" s="378" t="e">
        <f t="shared" si="48"/>
        <v>#N/A</v>
      </c>
      <c r="EH24" s="378" t="e">
        <f t="shared" si="48"/>
        <v>#N/A</v>
      </c>
      <c r="EI24" s="378" t="e">
        <f t="shared" si="48"/>
        <v>#N/A</v>
      </c>
      <c r="EJ24" s="354" t="e">
        <f>SUM(DZ24:EI24)</f>
        <v>#N/A</v>
      </c>
      <c r="EK24" s="380" t="e">
        <f t="shared" si="49"/>
        <v>#N/A</v>
      </c>
      <c r="EL24" s="380" t="e">
        <f t="shared" si="49"/>
        <v>#N/A</v>
      </c>
      <c r="EM24" s="380" t="e">
        <f t="shared" si="49"/>
        <v>#N/A</v>
      </c>
      <c r="EN24" s="380" t="e">
        <f t="shared" si="49"/>
        <v>#N/A</v>
      </c>
      <c r="EO24" s="380" t="e">
        <f t="shared" si="49"/>
        <v>#N/A</v>
      </c>
      <c r="EP24" s="380" t="e">
        <f t="shared" si="49"/>
        <v>#N/A</v>
      </c>
      <c r="EQ24" s="380" t="e">
        <f t="shared" si="49"/>
        <v>#N/A</v>
      </c>
      <c r="ER24" s="380" t="e">
        <f t="shared" si="49"/>
        <v>#N/A</v>
      </c>
      <c r="ES24" s="380" t="e">
        <f t="shared" si="49"/>
        <v>#N/A</v>
      </c>
      <c r="ET24" s="380" t="e">
        <f t="shared" si="49"/>
        <v>#N/A</v>
      </c>
      <c r="EU24" s="379" t="e">
        <f>SUM(EK24:ET24)</f>
        <v>#N/A</v>
      </c>
      <c r="EV24" s="382"/>
      <c r="EW24" s="382"/>
      <c r="EX24" s="382"/>
      <c r="EY24" s="382"/>
      <c r="EZ24" s="382"/>
      <c r="FA24" s="382"/>
      <c r="FB24" s="382"/>
      <c r="FE24" s="583" t="s">
        <v>1663</v>
      </c>
      <c r="FF24" s="583"/>
      <c r="FG24" s="583"/>
      <c r="FH24" s="583"/>
    </row>
    <row r="25" spans="1:165" ht="35" customHeight="1" x14ac:dyDescent="0.3">
      <c r="A25" s="330"/>
      <c r="B25" s="318"/>
      <c r="C25" s="318"/>
      <c r="D25" s="318"/>
      <c r="E25" s="318"/>
      <c r="F25" s="318"/>
      <c r="G25" s="318"/>
      <c r="H25" s="318"/>
      <c r="I25" s="318"/>
      <c r="J25" s="318"/>
      <c r="K25" s="318"/>
      <c r="L25" s="318"/>
      <c r="M25" s="318"/>
      <c r="N25" s="318"/>
      <c r="O25" s="318"/>
      <c r="P25" s="318"/>
      <c r="Q25" s="318"/>
      <c r="R25" s="318"/>
      <c r="S25" s="318"/>
      <c r="T25" s="318"/>
      <c r="U25" s="318"/>
      <c r="V25" s="318"/>
      <c r="W25" s="318"/>
      <c r="X25" s="318"/>
      <c r="Y25" s="318"/>
      <c r="Z25" s="318"/>
      <c r="AA25" s="318"/>
      <c r="AB25" s="318"/>
      <c r="AC25" s="318"/>
      <c r="AD25" s="318"/>
      <c r="AE25" s="318"/>
      <c r="AF25" s="318"/>
      <c r="AG25" s="318"/>
      <c r="AH25" s="318"/>
      <c r="AI25" s="318"/>
      <c r="AJ25" s="318"/>
      <c r="AK25" s="318"/>
      <c r="AL25" s="318"/>
      <c r="AM25" s="317"/>
      <c r="AN25" s="318"/>
      <c r="AO25" s="317"/>
      <c r="AP25" s="317"/>
      <c r="AQ25" s="317"/>
      <c r="AR25" s="317"/>
      <c r="AS25" s="317"/>
      <c r="AT25" s="317"/>
      <c r="AU25" s="318"/>
      <c r="AV25" s="318"/>
      <c r="AW25" s="318"/>
      <c r="AX25" s="318"/>
      <c r="AY25" s="318"/>
      <c r="AZ25" s="318"/>
      <c r="BA25" s="318"/>
      <c r="BB25" s="318"/>
      <c r="BC25" s="318"/>
      <c r="BD25" s="318"/>
      <c r="BE25" s="318"/>
      <c r="BF25" s="318"/>
      <c r="BG25" s="332">
        <f>(AU25*'Condition rating weights'!H$8+AV25*'Condition rating weights'!I$8+AW25*'Condition rating weights'!J$8+AX25*'Condition rating weights'!K$8+AY25*'Condition rating weights'!L$8+AZ25*'Condition rating weights'!M$8+BA25*'Condition rating weights'!N$8+BB25*'Condition rating weights'!O$8+BC25*'Condition rating weights'!P$8+BD25*'Condition rating weights'!Q$8+BE25*'Condition rating weights'!R$8+BF25*'Condition rating weights'!S$8)/100</f>
        <v>0</v>
      </c>
      <c r="BH25" s="333"/>
      <c r="BI25" s="333"/>
      <c r="BJ25" s="333"/>
      <c r="BK25" s="333"/>
      <c r="BL25" s="333"/>
      <c r="BM25" s="333"/>
      <c r="BN25" s="333"/>
      <c r="BO25" s="333"/>
      <c r="BP25" s="333"/>
      <c r="BQ25" s="333"/>
      <c r="BR25" s="333"/>
      <c r="BS25" s="333"/>
      <c r="BT25" s="334"/>
      <c r="BU25" s="335"/>
      <c r="BV25" s="346"/>
      <c r="BY25" s="376"/>
      <c r="BZ25" s="373"/>
      <c r="CA25" s="373"/>
      <c r="CB25" s="373"/>
      <c r="CC25" s="373"/>
      <c r="CD25" s="373"/>
      <c r="CE25" s="373"/>
      <c r="CF25" s="373"/>
      <c r="CG25" s="373"/>
      <c r="CH25" s="378" t="e">
        <f t="shared" si="16"/>
        <v>#N/A</v>
      </c>
      <c r="CI25" s="378" t="e">
        <f t="shared" si="17"/>
        <v>#N/A</v>
      </c>
      <c r="CJ25" s="378" t="e">
        <f t="shared" si="18"/>
        <v>#N/A</v>
      </c>
      <c r="CK25" s="378" t="e">
        <f t="shared" si="19"/>
        <v>#N/A</v>
      </c>
      <c r="CL25" s="378" t="e">
        <f t="shared" si="20"/>
        <v>#N/A</v>
      </c>
      <c r="CM25" s="378" t="e">
        <f t="shared" si="21"/>
        <v>#N/A</v>
      </c>
      <c r="CN25" s="378" t="e">
        <f t="shared" si="22"/>
        <v>#N/A</v>
      </c>
      <c r="CO25" s="378" t="e">
        <f t="shared" si="23"/>
        <v>#N/A</v>
      </c>
      <c r="CP25" s="378" t="e">
        <f t="shared" si="24"/>
        <v>#N/A</v>
      </c>
      <c r="CQ25" s="378" t="e">
        <f t="shared" si="25"/>
        <v>#N/A</v>
      </c>
      <c r="CR25" s="354" t="e">
        <f t="shared" ref="CR25:CR26" si="50">SUM(CH25:CQ25)</f>
        <v>#N/A</v>
      </c>
      <c r="CS25" s="379" t="e">
        <f>(HLOOKUP($AI25,'Inflation Adjustments'!$B$3:$BT$4,2,TRUE))*CH25</f>
        <v>#N/A</v>
      </c>
      <c r="CT25" s="379" t="e">
        <f>(HLOOKUP($AI25,'Inflation Adjustments'!$B$3:$BT$4,2,TRUE))*CI25</f>
        <v>#N/A</v>
      </c>
      <c r="CU25" s="379" t="e">
        <f>(HLOOKUP($AI25,'Inflation Adjustments'!$B$3:$BT$4,2,TRUE))*CJ25</f>
        <v>#N/A</v>
      </c>
      <c r="CV25" s="379" t="e">
        <f>(HLOOKUP($AI25,'Inflation Adjustments'!$B$3:$BT$4,2,TRUE))*CK25</f>
        <v>#N/A</v>
      </c>
      <c r="CW25" s="379" t="e">
        <f>(HLOOKUP($AI25,'Inflation Adjustments'!$B$3:$BT$4,2,TRUE))*CL25</f>
        <v>#N/A</v>
      </c>
      <c r="CX25" s="379" t="e">
        <f>(HLOOKUP($AI25,'Inflation Adjustments'!$B$3:$BT$4,2,TRUE))*CM25</f>
        <v>#N/A</v>
      </c>
      <c r="CY25" s="379" t="e">
        <f>(HLOOKUP($AI25,'Inflation Adjustments'!$B$3:$BT$4,2,TRUE))*CN25</f>
        <v>#N/A</v>
      </c>
      <c r="CZ25" s="379" t="e">
        <f>(HLOOKUP($AI25,'Inflation Adjustments'!$B$3:$BT$4,2,TRUE))*CO25</f>
        <v>#N/A</v>
      </c>
      <c r="DA25" s="379" t="e">
        <f>(HLOOKUP($AI25,'Inflation Adjustments'!$B$3:$BT$4,2,TRUE))*CP25</f>
        <v>#N/A</v>
      </c>
      <c r="DB25" s="379" t="e">
        <f>(HLOOKUP($AI25,'Inflation Adjustments'!$B$3:$BT$4,2,TRUE))*CQ25</f>
        <v>#N/A</v>
      </c>
      <c r="DC25" s="379" t="e">
        <f t="shared" si="27"/>
        <v>#N/A</v>
      </c>
      <c r="DD25" s="354">
        <f t="shared" si="28"/>
        <v>2022</v>
      </c>
      <c r="DE25" s="378" t="e">
        <f t="shared" si="29"/>
        <v>#N/A</v>
      </c>
      <c r="DF25" s="378" t="e">
        <f t="shared" si="30"/>
        <v>#N/A</v>
      </c>
      <c r="DG25" s="378" t="e">
        <f t="shared" si="31"/>
        <v>#N/A</v>
      </c>
      <c r="DH25" s="378" t="e">
        <f t="shared" si="32"/>
        <v>#N/A</v>
      </c>
      <c r="DI25" s="378" t="e">
        <f t="shared" si="33"/>
        <v>#N/A</v>
      </c>
      <c r="DJ25" s="378" t="e">
        <f t="shared" si="34"/>
        <v>#N/A</v>
      </c>
      <c r="DK25" s="378" t="e">
        <f t="shared" ref="DK25:DL34" si="51">(HLOOKUP(Z25,$CD$4:$CG$14,8,FALSE))</f>
        <v>#N/A</v>
      </c>
      <c r="DL25" s="378" t="e">
        <f t="shared" si="51"/>
        <v>#N/A</v>
      </c>
      <c r="DM25" s="378" t="e">
        <f t="shared" si="36"/>
        <v>#N/A</v>
      </c>
      <c r="DN25" s="378" t="e">
        <f t="shared" si="37"/>
        <v>#N/A</v>
      </c>
      <c r="DO25" s="380" t="e">
        <f t="shared" si="47"/>
        <v>#N/A</v>
      </c>
      <c r="DP25" s="380" t="e">
        <f t="shared" si="47"/>
        <v>#N/A</v>
      </c>
      <c r="DQ25" s="380" t="e">
        <f t="shared" si="47"/>
        <v>#N/A</v>
      </c>
      <c r="DR25" s="380" t="e">
        <f t="shared" si="47"/>
        <v>#N/A</v>
      </c>
      <c r="DS25" s="380" t="e">
        <f t="shared" si="47"/>
        <v>#N/A</v>
      </c>
      <c r="DT25" s="380" t="e">
        <f t="shared" si="47"/>
        <v>#N/A</v>
      </c>
      <c r="DU25" s="380" t="e">
        <f t="shared" si="47"/>
        <v>#N/A</v>
      </c>
      <c r="DV25" s="380" t="e">
        <f t="shared" si="47"/>
        <v>#N/A</v>
      </c>
      <c r="DW25" s="380" t="e">
        <f t="shared" si="47"/>
        <v>#N/A</v>
      </c>
      <c r="DX25" s="380" t="e">
        <f t="shared" si="47"/>
        <v>#N/A</v>
      </c>
      <c r="DY25" s="380" t="e">
        <f t="shared" ref="DY25:DY26" si="52">SUM(DO25:DX25)</f>
        <v>#N/A</v>
      </c>
      <c r="DZ25" s="378" t="e">
        <f t="shared" si="48"/>
        <v>#N/A</v>
      </c>
      <c r="EA25" s="378" t="e">
        <f t="shared" si="48"/>
        <v>#N/A</v>
      </c>
      <c r="EB25" s="378" t="e">
        <f t="shared" si="48"/>
        <v>#N/A</v>
      </c>
      <c r="EC25" s="378" t="e">
        <f t="shared" si="48"/>
        <v>#N/A</v>
      </c>
      <c r="ED25" s="378" t="e">
        <f t="shared" si="48"/>
        <v>#N/A</v>
      </c>
      <c r="EE25" s="378" t="e">
        <f t="shared" si="48"/>
        <v>#N/A</v>
      </c>
      <c r="EF25" s="378" t="e">
        <f t="shared" si="48"/>
        <v>#N/A</v>
      </c>
      <c r="EG25" s="378" t="e">
        <f t="shared" si="48"/>
        <v>#N/A</v>
      </c>
      <c r="EH25" s="378" t="e">
        <f t="shared" si="48"/>
        <v>#N/A</v>
      </c>
      <c r="EI25" s="378" t="e">
        <f t="shared" si="48"/>
        <v>#N/A</v>
      </c>
      <c r="EJ25" s="354" t="e">
        <f t="shared" ref="EJ25:EJ34" si="53">SUM(DZ25:EI25)</f>
        <v>#N/A</v>
      </c>
      <c r="EK25" s="380" t="e">
        <f t="shared" si="49"/>
        <v>#N/A</v>
      </c>
      <c r="EL25" s="380" t="e">
        <f t="shared" si="49"/>
        <v>#N/A</v>
      </c>
      <c r="EM25" s="380" t="e">
        <f t="shared" si="49"/>
        <v>#N/A</v>
      </c>
      <c r="EN25" s="380" t="e">
        <f t="shared" si="49"/>
        <v>#N/A</v>
      </c>
      <c r="EO25" s="380" t="e">
        <f t="shared" si="49"/>
        <v>#N/A</v>
      </c>
      <c r="EP25" s="380" t="e">
        <f t="shared" si="49"/>
        <v>#N/A</v>
      </c>
      <c r="EQ25" s="380" t="e">
        <f t="shared" si="49"/>
        <v>#N/A</v>
      </c>
      <c r="ER25" s="380" t="e">
        <f t="shared" si="49"/>
        <v>#N/A</v>
      </c>
      <c r="ES25" s="380" t="e">
        <f t="shared" si="49"/>
        <v>#N/A</v>
      </c>
      <c r="ET25" s="380" t="e">
        <f t="shared" si="49"/>
        <v>#N/A</v>
      </c>
      <c r="EU25" s="379" t="e">
        <f t="shared" ref="EU25:EU34" si="54">SUM(EK25:ET25)</f>
        <v>#N/A</v>
      </c>
      <c r="EV25" s="382"/>
      <c r="EW25" s="382"/>
      <c r="EX25" s="382"/>
      <c r="EY25" s="382"/>
      <c r="EZ25" s="382"/>
      <c r="FA25" s="382"/>
      <c r="FB25" s="382"/>
    </row>
    <row r="26" spans="1:165" ht="35" customHeight="1" x14ac:dyDescent="0.3">
      <c r="A26" s="330"/>
      <c r="B26" s="318"/>
      <c r="C26" s="318"/>
      <c r="D26" s="318"/>
      <c r="E26" s="318"/>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8"/>
      <c r="AM26" s="317"/>
      <c r="AN26" s="318"/>
      <c r="AO26" s="317"/>
      <c r="AP26" s="317"/>
      <c r="AQ26" s="317"/>
      <c r="AR26" s="317"/>
      <c r="AS26" s="317"/>
      <c r="AT26" s="317"/>
      <c r="AU26" s="318"/>
      <c r="AV26" s="318"/>
      <c r="AW26" s="318"/>
      <c r="AX26" s="318"/>
      <c r="AY26" s="318"/>
      <c r="AZ26" s="318"/>
      <c r="BA26" s="318"/>
      <c r="BB26" s="318"/>
      <c r="BC26" s="318"/>
      <c r="BD26" s="318"/>
      <c r="BE26" s="318"/>
      <c r="BF26" s="318"/>
      <c r="BG26" s="332">
        <f>(AU26*'Condition rating weights'!H$8+AV26*'Condition rating weights'!I$8+AW26*'Condition rating weights'!J$8+AX26*'Condition rating weights'!K$8+AY26*'Condition rating weights'!L$8+AZ26*'Condition rating weights'!M$8+BA26*'Condition rating weights'!N$8+BB26*'Condition rating weights'!O$8+BC26*'Condition rating weights'!P$8+BD26*'Condition rating weights'!Q$8+BE26*'Condition rating weights'!R$8+BF26*'Condition rating weights'!S$8)/100</f>
        <v>0</v>
      </c>
      <c r="BH26" s="333"/>
      <c r="BI26" s="333"/>
      <c r="BJ26" s="333"/>
      <c r="BK26" s="333"/>
      <c r="BL26" s="333"/>
      <c r="BM26" s="333"/>
      <c r="BN26" s="333"/>
      <c r="BO26" s="333"/>
      <c r="BP26" s="333"/>
      <c r="BQ26" s="333"/>
      <c r="BR26" s="333"/>
      <c r="BS26" s="333"/>
      <c r="BT26" s="334"/>
      <c r="BU26" s="335"/>
      <c r="BV26" s="255"/>
      <c r="BY26" s="376"/>
      <c r="BZ26" s="373"/>
      <c r="CA26" s="373"/>
      <c r="CB26" s="373"/>
      <c r="CC26" s="373"/>
      <c r="CD26" s="373"/>
      <c r="CE26" s="373"/>
      <c r="CF26" s="373"/>
      <c r="CG26" s="373"/>
      <c r="CH26" s="378" t="e">
        <f t="shared" si="16"/>
        <v>#N/A</v>
      </c>
      <c r="CI26" s="378" t="e">
        <f t="shared" si="17"/>
        <v>#N/A</v>
      </c>
      <c r="CJ26" s="378" t="e">
        <f t="shared" si="18"/>
        <v>#N/A</v>
      </c>
      <c r="CK26" s="378" t="e">
        <f t="shared" si="19"/>
        <v>#N/A</v>
      </c>
      <c r="CL26" s="378" t="e">
        <f t="shared" si="20"/>
        <v>#N/A</v>
      </c>
      <c r="CM26" s="378" t="e">
        <f t="shared" si="21"/>
        <v>#N/A</v>
      </c>
      <c r="CN26" s="378" t="e">
        <f t="shared" si="22"/>
        <v>#N/A</v>
      </c>
      <c r="CO26" s="378" t="e">
        <f t="shared" si="23"/>
        <v>#N/A</v>
      </c>
      <c r="CP26" s="378" t="e">
        <f t="shared" si="24"/>
        <v>#N/A</v>
      </c>
      <c r="CQ26" s="378" t="e">
        <f t="shared" si="25"/>
        <v>#N/A</v>
      </c>
      <c r="CR26" s="354" t="e">
        <f t="shared" si="50"/>
        <v>#N/A</v>
      </c>
      <c r="CS26" s="379" t="e">
        <f>(HLOOKUP($AI26,'Inflation Adjustments'!$B$3:$BT$4,2,TRUE))*CH26</f>
        <v>#N/A</v>
      </c>
      <c r="CT26" s="379" t="e">
        <f>(HLOOKUP($AI26,'Inflation Adjustments'!$B$3:$BT$4,2,TRUE))*CI26</f>
        <v>#N/A</v>
      </c>
      <c r="CU26" s="379" t="e">
        <f>(HLOOKUP($AI26,'Inflation Adjustments'!$B$3:$BT$4,2,TRUE))*CJ26</f>
        <v>#N/A</v>
      </c>
      <c r="CV26" s="379" t="e">
        <f>(HLOOKUP($AI26,'Inflation Adjustments'!$B$3:$BT$4,2,TRUE))*CK26</f>
        <v>#N/A</v>
      </c>
      <c r="CW26" s="379" t="e">
        <f>(HLOOKUP($AI26,'Inflation Adjustments'!$B$3:$BT$4,2,TRUE))*CL26</f>
        <v>#N/A</v>
      </c>
      <c r="CX26" s="379" t="e">
        <f>(HLOOKUP($AI26,'Inflation Adjustments'!$B$3:$BT$4,2,TRUE))*CM26</f>
        <v>#N/A</v>
      </c>
      <c r="CY26" s="379" t="e">
        <f>(HLOOKUP($AI26,'Inflation Adjustments'!$B$3:$BT$4,2,TRUE))*CN26</f>
        <v>#N/A</v>
      </c>
      <c r="CZ26" s="379" t="e">
        <f>(HLOOKUP($AI26,'Inflation Adjustments'!$B$3:$BT$4,2,TRUE))*CO26</f>
        <v>#N/A</v>
      </c>
      <c r="DA26" s="379" t="e">
        <f>(HLOOKUP($AI26,'Inflation Adjustments'!$B$3:$BT$4,2,TRUE))*CP26</f>
        <v>#N/A</v>
      </c>
      <c r="DB26" s="379" t="e">
        <f>(HLOOKUP($AI26,'Inflation Adjustments'!$B$3:$BT$4,2,TRUE))*CQ26</f>
        <v>#N/A</v>
      </c>
      <c r="DC26" s="379" t="e">
        <f t="shared" si="27"/>
        <v>#N/A</v>
      </c>
      <c r="DD26" s="354">
        <f t="shared" si="28"/>
        <v>2022</v>
      </c>
      <c r="DE26" s="378" t="e">
        <f t="shared" si="29"/>
        <v>#N/A</v>
      </c>
      <c r="DF26" s="378" t="e">
        <f t="shared" si="30"/>
        <v>#N/A</v>
      </c>
      <c r="DG26" s="378" t="e">
        <f t="shared" si="31"/>
        <v>#N/A</v>
      </c>
      <c r="DH26" s="378" t="e">
        <f t="shared" si="32"/>
        <v>#N/A</v>
      </c>
      <c r="DI26" s="378" t="e">
        <f t="shared" si="33"/>
        <v>#N/A</v>
      </c>
      <c r="DJ26" s="378" t="e">
        <f t="shared" si="34"/>
        <v>#N/A</v>
      </c>
      <c r="DK26" s="378" t="e">
        <f t="shared" si="51"/>
        <v>#N/A</v>
      </c>
      <c r="DL26" s="378" t="e">
        <f t="shared" si="51"/>
        <v>#N/A</v>
      </c>
      <c r="DM26" s="378" t="e">
        <f t="shared" si="36"/>
        <v>#N/A</v>
      </c>
      <c r="DN26" s="378" t="e">
        <f t="shared" si="37"/>
        <v>#N/A</v>
      </c>
      <c r="DO26" s="380" t="e">
        <f t="shared" si="47"/>
        <v>#N/A</v>
      </c>
      <c r="DP26" s="380" t="e">
        <f t="shared" si="47"/>
        <v>#N/A</v>
      </c>
      <c r="DQ26" s="380" t="e">
        <f t="shared" si="47"/>
        <v>#N/A</v>
      </c>
      <c r="DR26" s="380" t="e">
        <f t="shared" si="47"/>
        <v>#N/A</v>
      </c>
      <c r="DS26" s="380" t="e">
        <f t="shared" si="47"/>
        <v>#N/A</v>
      </c>
      <c r="DT26" s="380" t="e">
        <f t="shared" si="47"/>
        <v>#N/A</v>
      </c>
      <c r="DU26" s="380" t="e">
        <f t="shared" si="47"/>
        <v>#N/A</v>
      </c>
      <c r="DV26" s="380" t="e">
        <f t="shared" si="47"/>
        <v>#N/A</v>
      </c>
      <c r="DW26" s="380" t="e">
        <f t="shared" si="47"/>
        <v>#N/A</v>
      </c>
      <c r="DX26" s="380" t="e">
        <f t="shared" si="47"/>
        <v>#N/A</v>
      </c>
      <c r="DY26" s="380" t="e">
        <f t="shared" si="52"/>
        <v>#N/A</v>
      </c>
      <c r="DZ26" s="378" t="e">
        <f t="shared" si="48"/>
        <v>#N/A</v>
      </c>
      <c r="EA26" s="378" t="e">
        <f t="shared" si="48"/>
        <v>#N/A</v>
      </c>
      <c r="EB26" s="378" t="e">
        <f t="shared" si="48"/>
        <v>#N/A</v>
      </c>
      <c r="EC26" s="378" t="e">
        <f t="shared" si="48"/>
        <v>#N/A</v>
      </c>
      <c r="ED26" s="378" t="e">
        <f t="shared" si="48"/>
        <v>#N/A</v>
      </c>
      <c r="EE26" s="378" t="e">
        <f t="shared" si="48"/>
        <v>#N/A</v>
      </c>
      <c r="EF26" s="378" t="e">
        <f t="shared" si="48"/>
        <v>#N/A</v>
      </c>
      <c r="EG26" s="378" t="e">
        <f t="shared" si="48"/>
        <v>#N/A</v>
      </c>
      <c r="EH26" s="378" t="e">
        <f t="shared" si="48"/>
        <v>#N/A</v>
      </c>
      <c r="EI26" s="378" t="e">
        <f t="shared" si="48"/>
        <v>#N/A</v>
      </c>
      <c r="EJ26" s="354" t="e">
        <f t="shared" si="53"/>
        <v>#N/A</v>
      </c>
      <c r="EK26" s="380" t="e">
        <f t="shared" si="49"/>
        <v>#N/A</v>
      </c>
      <c r="EL26" s="380" t="e">
        <f t="shared" si="49"/>
        <v>#N/A</v>
      </c>
      <c r="EM26" s="380" t="e">
        <f t="shared" si="49"/>
        <v>#N/A</v>
      </c>
      <c r="EN26" s="380" t="e">
        <f t="shared" si="49"/>
        <v>#N/A</v>
      </c>
      <c r="EO26" s="380" t="e">
        <f t="shared" si="49"/>
        <v>#N/A</v>
      </c>
      <c r="EP26" s="380" t="e">
        <f t="shared" si="49"/>
        <v>#N/A</v>
      </c>
      <c r="EQ26" s="380" t="e">
        <f t="shared" si="49"/>
        <v>#N/A</v>
      </c>
      <c r="ER26" s="380" t="e">
        <f t="shared" si="49"/>
        <v>#N/A</v>
      </c>
      <c r="ES26" s="380" t="e">
        <f t="shared" si="49"/>
        <v>#N/A</v>
      </c>
      <c r="ET26" s="380" t="e">
        <f t="shared" si="49"/>
        <v>#N/A</v>
      </c>
      <c r="EU26" s="379" t="e">
        <f t="shared" si="54"/>
        <v>#N/A</v>
      </c>
      <c r="EV26" s="382"/>
      <c r="EW26" s="382"/>
      <c r="EX26" s="382"/>
      <c r="EY26" s="382"/>
      <c r="EZ26" s="382"/>
      <c r="FA26" s="382"/>
      <c r="FB26" s="382"/>
    </row>
    <row r="27" spans="1:165" ht="43" customHeight="1" x14ac:dyDescent="0.3">
      <c r="A27" s="318"/>
      <c r="B27" s="318"/>
      <c r="C27" s="318"/>
      <c r="D27" s="318"/>
      <c r="E27" s="318"/>
      <c r="F27" s="318"/>
      <c r="G27" s="318"/>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18"/>
      <c r="AM27" s="317"/>
      <c r="AN27" s="318"/>
      <c r="AO27" s="317"/>
      <c r="AP27" s="317"/>
      <c r="AQ27" s="317"/>
      <c r="AR27" s="317"/>
      <c r="AS27" s="317"/>
      <c r="AT27" s="317"/>
      <c r="AU27" s="318"/>
      <c r="AV27" s="318"/>
      <c r="AW27" s="318"/>
      <c r="AX27" s="318"/>
      <c r="AY27" s="318"/>
      <c r="AZ27" s="318"/>
      <c r="BA27" s="318"/>
      <c r="BB27" s="318"/>
      <c r="BC27" s="318"/>
      <c r="BD27" s="318"/>
      <c r="BE27" s="318"/>
      <c r="BF27" s="318"/>
      <c r="BG27" s="332">
        <f>(AU27*'Condition rating weights'!H$8+AV27*'Condition rating weights'!I$8+AW27*'Condition rating weights'!J$8+AX27*'Condition rating weights'!K$8+AY27*'Condition rating weights'!L$8+AZ27*'Condition rating weights'!M$8+BA27*'Condition rating weights'!N$8+BB27*'Condition rating weights'!O$8+BC27*'Condition rating weights'!P$8+BD27*'Condition rating weights'!Q$8+BE27*'Condition rating weights'!R$8+BF27*'Condition rating weights'!S$8)/100</f>
        <v>0</v>
      </c>
      <c r="BH27" s="333"/>
      <c r="BI27" s="333"/>
      <c r="BJ27" s="333"/>
      <c r="BK27" s="333"/>
      <c r="BL27" s="333"/>
      <c r="BM27" s="333"/>
      <c r="BN27" s="333"/>
      <c r="BO27" s="333"/>
      <c r="BP27" s="333"/>
      <c r="BQ27" s="333"/>
      <c r="BR27" s="333"/>
      <c r="BS27" s="333"/>
      <c r="BT27" s="334"/>
      <c r="BU27" s="335"/>
      <c r="BV27" s="255"/>
      <c r="BY27" s="376"/>
      <c r="BZ27" s="373"/>
      <c r="CA27" s="373"/>
      <c r="CB27" s="373"/>
      <c r="CC27" s="373"/>
      <c r="CD27" s="373"/>
      <c r="CE27" s="373"/>
      <c r="CF27" s="373"/>
      <c r="CG27" s="373"/>
      <c r="CH27" s="378" t="e">
        <f t="shared" si="16"/>
        <v>#N/A</v>
      </c>
      <c r="CI27" s="378" t="e">
        <f t="shared" si="17"/>
        <v>#N/A</v>
      </c>
      <c r="CJ27" s="378" t="e">
        <f t="shared" si="18"/>
        <v>#N/A</v>
      </c>
      <c r="CK27" s="378" t="e">
        <f t="shared" si="19"/>
        <v>#N/A</v>
      </c>
      <c r="CL27" s="378" t="e">
        <f t="shared" si="20"/>
        <v>#N/A</v>
      </c>
      <c r="CM27" s="378" t="e">
        <f t="shared" si="21"/>
        <v>#N/A</v>
      </c>
      <c r="CN27" s="378" t="e">
        <f t="shared" si="22"/>
        <v>#N/A</v>
      </c>
      <c r="CO27" s="378" t="e">
        <f t="shared" si="23"/>
        <v>#N/A</v>
      </c>
      <c r="CP27" s="378" t="e">
        <f t="shared" si="24"/>
        <v>#N/A</v>
      </c>
      <c r="CQ27" s="378" t="e">
        <f t="shared" si="25"/>
        <v>#N/A</v>
      </c>
      <c r="CR27" s="354" t="e">
        <f t="shared" ref="CR27:CR30" si="55">SUM(CH27:CQ27)</f>
        <v>#N/A</v>
      </c>
      <c r="CS27" s="379" t="e">
        <f>(HLOOKUP($AI27,'Inflation Adjustments'!$B$3:$BT$4,2,TRUE))*CH27</f>
        <v>#N/A</v>
      </c>
      <c r="CT27" s="379" t="e">
        <f>(HLOOKUP($AI27,'Inflation Adjustments'!$B$3:$BT$4,2,TRUE))*CI27</f>
        <v>#N/A</v>
      </c>
      <c r="CU27" s="379" t="e">
        <f>(HLOOKUP($AI27,'Inflation Adjustments'!$B$3:$BT$4,2,TRUE))*CJ27</f>
        <v>#N/A</v>
      </c>
      <c r="CV27" s="379" t="e">
        <f>(HLOOKUP($AI27,'Inflation Adjustments'!$B$3:$BT$4,2,TRUE))*CK27</f>
        <v>#N/A</v>
      </c>
      <c r="CW27" s="379" t="e">
        <f>(HLOOKUP($AI27,'Inflation Adjustments'!$B$3:$BT$4,2,TRUE))*CL27</f>
        <v>#N/A</v>
      </c>
      <c r="CX27" s="379" t="e">
        <f>(HLOOKUP($AI27,'Inflation Adjustments'!$B$3:$BT$4,2,TRUE))*CM27</f>
        <v>#N/A</v>
      </c>
      <c r="CY27" s="379" t="e">
        <f>(HLOOKUP($AI27,'Inflation Adjustments'!$B$3:$BT$4,2,TRUE))*CN27</f>
        <v>#N/A</v>
      </c>
      <c r="CZ27" s="379" t="e">
        <f>(HLOOKUP($AI27,'Inflation Adjustments'!$B$3:$BT$4,2,TRUE))*CO27</f>
        <v>#N/A</v>
      </c>
      <c r="DA27" s="379" t="e">
        <f>(HLOOKUP($AI27,'Inflation Adjustments'!$B$3:$BT$4,2,TRUE))*CP27</f>
        <v>#N/A</v>
      </c>
      <c r="DB27" s="379" t="e">
        <f>(HLOOKUP($AI27,'Inflation Adjustments'!$B$3:$BT$4,2,TRUE))*CQ27</f>
        <v>#N/A</v>
      </c>
      <c r="DC27" s="379" t="e">
        <f t="shared" si="27"/>
        <v>#N/A</v>
      </c>
      <c r="DD27" s="354">
        <f t="shared" si="28"/>
        <v>2022</v>
      </c>
      <c r="DE27" s="378" t="e">
        <f t="shared" si="29"/>
        <v>#N/A</v>
      </c>
      <c r="DF27" s="378" t="e">
        <f t="shared" si="30"/>
        <v>#N/A</v>
      </c>
      <c r="DG27" s="378" t="e">
        <f t="shared" si="31"/>
        <v>#N/A</v>
      </c>
      <c r="DH27" s="378" t="e">
        <f t="shared" si="32"/>
        <v>#N/A</v>
      </c>
      <c r="DI27" s="378" t="e">
        <f t="shared" si="33"/>
        <v>#N/A</v>
      </c>
      <c r="DJ27" s="378" t="e">
        <f t="shared" si="34"/>
        <v>#N/A</v>
      </c>
      <c r="DK27" s="378" t="e">
        <f t="shared" si="51"/>
        <v>#N/A</v>
      </c>
      <c r="DL27" s="378" t="e">
        <f t="shared" si="51"/>
        <v>#N/A</v>
      </c>
      <c r="DM27" s="378" t="e">
        <f t="shared" si="36"/>
        <v>#N/A</v>
      </c>
      <c r="DN27" s="378" t="e">
        <f t="shared" si="37"/>
        <v>#N/A</v>
      </c>
      <c r="DO27" s="380" t="e">
        <f t="shared" si="47"/>
        <v>#N/A</v>
      </c>
      <c r="DP27" s="380" t="e">
        <f t="shared" si="47"/>
        <v>#N/A</v>
      </c>
      <c r="DQ27" s="380" t="e">
        <f t="shared" si="47"/>
        <v>#N/A</v>
      </c>
      <c r="DR27" s="380" t="e">
        <f t="shared" si="47"/>
        <v>#N/A</v>
      </c>
      <c r="DS27" s="380" t="e">
        <f t="shared" si="47"/>
        <v>#N/A</v>
      </c>
      <c r="DT27" s="380" t="e">
        <f t="shared" si="47"/>
        <v>#N/A</v>
      </c>
      <c r="DU27" s="380" t="e">
        <f t="shared" si="47"/>
        <v>#N/A</v>
      </c>
      <c r="DV27" s="380" t="e">
        <f t="shared" si="47"/>
        <v>#N/A</v>
      </c>
      <c r="DW27" s="380" t="e">
        <f t="shared" si="47"/>
        <v>#N/A</v>
      </c>
      <c r="DX27" s="380" t="e">
        <f t="shared" si="47"/>
        <v>#N/A</v>
      </c>
      <c r="DY27" s="380" t="e">
        <f t="shared" ref="DY27:DY30" si="56">SUM(DO27:DX27)</f>
        <v>#N/A</v>
      </c>
      <c r="DZ27" s="378" t="e">
        <f t="shared" si="48"/>
        <v>#N/A</v>
      </c>
      <c r="EA27" s="378" t="e">
        <f t="shared" si="48"/>
        <v>#N/A</v>
      </c>
      <c r="EB27" s="378" t="e">
        <f t="shared" si="48"/>
        <v>#N/A</v>
      </c>
      <c r="EC27" s="378" t="e">
        <f t="shared" si="48"/>
        <v>#N/A</v>
      </c>
      <c r="ED27" s="378" t="e">
        <f t="shared" si="48"/>
        <v>#N/A</v>
      </c>
      <c r="EE27" s="378" t="e">
        <f t="shared" si="48"/>
        <v>#N/A</v>
      </c>
      <c r="EF27" s="378" t="e">
        <f t="shared" si="48"/>
        <v>#N/A</v>
      </c>
      <c r="EG27" s="378" t="e">
        <f t="shared" si="48"/>
        <v>#N/A</v>
      </c>
      <c r="EH27" s="378" t="e">
        <f t="shared" si="48"/>
        <v>#N/A</v>
      </c>
      <c r="EI27" s="378" t="e">
        <f t="shared" si="48"/>
        <v>#N/A</v>
      </c>
      <c r="EJ27" s="354" t="e">
        <f t="shared" si="53"/>
        <v>#N/A</v>
      </c>
      <c r="EK27" s="380" t="e">
        <f t="shared" si="49"/>
        <v>#N/A</v>
      </c>
      <c r="EL27" s="380" t="e">
        <f t="shared" si="49"/>
        <v>#N/A</v>
      </c>
      <c r="EM27" s="380" t="e">
        <f t="shared" si="49"/>
        <v>#N/A</v>
      </c>
      <c r="EN27" s="380" t="e">
        <f t="shared" si="49"/>
        <v>#N/A</v>
      </c>
      <c r="EO27" s="380" t="e">
        <f t="shared" si="49"/>
        <v>#N/A</v>
      </c>
      <c r="EP27" s="380" t="e">
        <f t="shared" si="49"/>
        <v>#N/A</v>
      </c>
      <c r="EQ27" s="380" t="e">
        <f t="shared" si="49"/>
        <v>#N/A</v>
      </c>
      <c r="ER27" s="380" t="e">
        <f t="shared" si="49"/>
        <v>#N/A</v>
      </c>
      <c r="ES27" s="380" t="e">
        <f t="shared" si="49"/>
        <v>#N/A</v>
      </c>
      <c r="ET27" s="380" t="e">
        <f t="shared" si="49"/>
        <v>#N/A</v>
      </c>
      <c r="EU27" s="379" t="e">
        <f t="shared" si="54"/>
        <v>#N/A</v>
      </c>
      <c r="EV27" s="382"/>
      <c r="EW27" s="382"/>
      <c r="EX27" s="382"/>
      <c r="EY27" s="382"/>
      <c r="EZ27" s="382"/>
      <c r="FA27" s="382"/>
      <c r="FB27" s="382"/>
    </row>
    <row r="28" spans="1:165" ht="35" customHeight="1" x14ac:dyDescent="0.3">
      <c r="BV28" s="144"/>
      <c r="BY28" s="376"/>
      <c r="BZ28" s="373"/>
      <c r="CA28" s="373"/>
      <c r="CB28" s="373"/>
      <c r="CC28" s="373"/>
      <c r="CD28" s="373"/>
      <c r="CE28" s="373"/>
      <c r="CF28" s="373"/>
      <c r="CG28" s="373"/>
    </row>
    <row r="29" spans="1:165" ht="35" customHeight="1" x14ac:dyDescent="0.3">
      <c r="A29" s="318"/>
      <c r="B29" s="318"/>
      <c r="C29" s="318"/>
      <c r="D29" s="318"/>
      <c r="E29" s="318"/>
      <c r="F29" s="318"/>
      <c r="G29" s="318"/>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18"/>
      <c r="AL29" s="318"/>
      <c r="AM29" s="317"/>
      <c r="AN29" s="318"/>
      <c r="AO29" s="317"/>
      <c r="AP29" s="317"/>
      <c r="AQ29" s="317"/>
      <c r="AR29" s="317"/>
      <c r="AS29" s="317"/>
      <c r="AT29" s="317"/>
      <c r="AU29" s="318"/>
      <c r="AV29" s="318"/>
      <c r="AW29" s="318"/>
      <c r="AX29" s="318"/>
      <c r="AY29" s="318"/>
      <c r="AZ29" s="318"/>
      <c r="BA29" s="318"/>
      <c r="BB29" s="318"/>
      <c r="BC29" s="318"/>
      <c r="BD29" s="318"/>
      <c r="BE29" s="318"/>
      <c r="BF29" s="318"/>
      <c r="BG29" s="332"/>
      <c r="BH29" s="333"/>
      <c r="BI29" s="333"/>
      <c r="BJ29" s="333"/>
      <c r="BK29" s="333"/>
      <c r="BL29" s="333"/>
      <c r="BM29" s="333"/>
      <c r="BN29" s="333"/>
      <c r="BO29" s="333"/>
      <c r="BP29" s="333"/>
      <c r="BQ29" s="333"/>
      <c r="BR29" s="333"/>
      <c r="BS29" s="333"/>
      <c r="BT29" s="334"/>
      <c r="BU29" s="335"/>
      <c r="BV29" s="144"/>
      <c r="BY29" s="376"/>
      <c r="BZ29" s="373"/>
      <c r="CA29" s="373"/>
      <c r="CB29" s="373"/>
      <c r="CC29" s="373"/>
      <c r="CD29" s="373"/>
      <c r="CE29" s="373"/>
      <c r="CF29" s="373"/>
      <c r="CG29" s="373"/>
      <c r="CH29" s="378" t="e">
        <f t="shared" si="16"/>
        <v>#N/A</v>
      </c>
      <c r="CI29" s="378" t="e">
        <f t="shared" si="17"/>
        <v>#N/A</v>
      </c>
      <c r="CJ29" s="378" t="e">
        <f t="shared" si="18"/>
        <v>#N/A</v>
      </c>
      <c r="CK29" s="378" t="e">
        <f t="shared" si="19"/>
        <v>#N/A</v>
      </c>
      <c r="CL29" s="378" t="e">
        <f t="shared" si="20"/>
        <v>#N/A</v>
      </c>
      <c r="CM29" s="378" t="e">
        <f t="shared" si="21"/>
        <v>#N/A</v>
      </c>
      <c r="CN29" s="378" t="e">
        <f t="shared" si="22"/>
        <v>#N/A</v>
      </c>
      <c r="CO29" s="378" t="e">
        <f t="shared" si="23"/>
        <v>#N/A</v>
      </c>
      <c r="CP29" s="378" t="e">
        <f t="shared" si="24"/>
        <v>#N/A</v>
      </c>
      <c r="CQ29" s="378" t="e">
        <f t="shared" si="25"/>
        <v>#N/A</v>
      </c>
      <c r="CR29" s="354" t="e">
        <f t="shared" si="55"/>
        <v>#N/A</v>
      </c>
      <c r="CS29" s="379" t="e">
        <f>(HLOOKUP($AI29,'Inflation Adjustments'!$B$3:$BT$4,2,TRUE))*CH29</f>
        <v>#N/A</v>
      </c>
      <c r="CT29" s="379" t="e">
        <f>(HLOOKUP($AI29,'Inflation Adjustments'!$B$3:$BT$4,2,TRUE))*CI29</f>
        <v>#N/A</v>
      </c>
      <c r="CU29" s="379" t="e">
        <f>(HLOOKUP($AI29,'Inflation Adjustments'!$B$3:$BT$4,2,TRUE))*CJ29</f>
        <v>#N/A</v>
      </c>
      <c r="CV29" s="379" t="e">
        <f>(HLOOKUP($AI29,'Inflation Adjustments'!$B$3:$BT$4,2,TRUE))*CK29</f>
        <v>#N/A</v>
      </c>
      <c r="CW29" s="379" t="e">
        <f>(HLOOKUP($AI29,'Inflation Adjustments'!$B$3:$BT$4,2,TRUE))*CL29</f>
        <v>#N/A</v>
      </c>
      <c r="CX29" s="379" t="e">
        <f>(HLOOKUP($AI29,'Inflation Adjustments'!$B$3:$BT$4,2,TRUE))*CM29</f>
        <v>#N/A</v>
      </c>
      <c r="CY29" s="379" t="e">
        <f>(HLOOKUP($AI29,'Inflation Adjustments'!$B$3:$BT$4,2,TRUE))*CN29</f>
        <v>#N/A</v>
      </c>
      <c r="CZ29" s="379" t="e">
        <f>(HLOOKUP($AI29,'Inflation Adjustments'!$B$3:$BT$4,2,TRUE))*CO29</f>
        <v>#N/A</v>
      </c>
      <c r="DA29" s="379" t="e">
        <f>(HLOOKUP($AI29,'Inflation Adjustments'!$B$3:$BT$4,2,TRUE))*CP29</f>
        <v>#N/A</v>
      </c>
      <c r="DB29" s="379" t="e">
        <f>(HLOOKUP($AI29,'Inflation Adjustments'!$B$3:$BT$4,2,TRUE))*CQ29</f>
        <v>#N/A</v>
      </c>
      <c r="DC29" s="379" t="e">
        <f t="shared" si="27"/>
        <v>#N/A</v>
      </c>
      <c r="DD29" s="354">
        <f t="shared" si="28"/>
        <v>2022</v>
      </c>
      <c r="DE29" s="378" t="e">
        <f t="shared" si="29"/>
        <v>#N/A</v>
      </c>
      <c r="DF29" s="378" t="e">
        <f t="shared" si="30"/>
        <v>#N/A</v>
      </c>
      <c r="DG29" s="378" t="e">
        <f t="shared" si="31"/>
        <v>#N/A</v>
      </c>
      <c r="DH29" s="378" t="e">
        <f t="shared" si="32"/>
        <v>#N/A</v>
      </c>
      <c r="DI29" s="378" t="e">
        <f t="shared" si="33"/>
        <v>#N/A</v>
      </c>
      <c r="DJ29" s="378" t="e">
        <f t="shared" si="34"/>
        <v>#N/A</v>
      </c>
      <c r="DK29" s="378" t="e">
        <f t="shared" si="51"/>
        <v>#N/A</v>
      </c>
      <c r="DL29" s="378" t="e">
        <f t="shared" si="51"/>
        <v>#N/A</v>
      </c>
      <c r="DM29" s="378" t="e">
        <f t="shared" si="36"/>
        <v>#N/A</v>
      </c>
      <c r="DN29" s="378" t="e">
        <f t="shared" si="37"/>
        <v>#N/A</v>
      </c>
      <c r="DO29" s="380" t="e">
        <f t="shared" si="47"/>
        <v>#N/A</v>
      </c>
      <c r="DP29" s="380" t="e">
        <f t="shared" si="47"/>
        <v>#N/A</v>
      </c>
      <c r="DQ29" s="380" t="e">
        <f t="shared" si="47"/>
        <v>#N/A</v>
      </c>
      <c r="DR29" s="380" t="e">
        <f t="shared" si="47"/>
        <v>#N/A</v>
      </c>
      <c r="DS29" s="380" t="e">
        <f t="shared" si="47"/>
        <v>#N/A</v>
      </c>
      <c r="DT29" s="380" t="e">
        <f t="shared" si="47"/>
        <v>#N/A</v>
      </c>
      <c r="DU29" s="380" t="e">
        <f t="shared" si="47"/>
        <v>#N/A</v>
      </c>
      <c r="DV29" s="380" t="e">
        <f t="shared" si="47"/>
        <v>#N/A</v>
      </c>
      <c r="DW29" s="380" t="e">
        <f t="shared" si="47"/>
        <v>#N/A</v>
      </c>
      <c r="DX29" s="380" t="e">
        <f t="shared" si="47"/>
        <v>#N/A</v>
      </c>
      <c r="DY29" s="380" t="e">
        <f t="shared" si="56"/>
        <v>#N/A</v>
      </c>
      <c r="DZ29" s="378" t="e">
        <f t="shared" si="48"/>
        <v>#N/A</v>
      </c>
      <c r="EA29" s="378" t="e">
        <f t="shared" si="48"/>
        <v>#N/A</v>
      </c>
      <c r="EB29" s="378" t="e">
        <f t="shared" si="48"/>
        <v>#N/A</v>
      </c>
      <c r="EC29" s="378" t="e">
        <f t="shared" si="48"/>
        <v>#N/A</v>
      </c>
      <c r="ED29" s="378" t="e">
        <f t="shared" si="48"/>
        <v>#N/A</v>
      </c>
      <c r="EE29" s="378" t="e">
        <f t="shared" si="48"/>
        <v>#N/A</v>
      </c>
      <c r="EF29" s="378" t="e">
        <f t="shared" si="48"/>
        <v>#N/A</v>
      </c>
      <c r="EG29" s="378" t="e">
        <f t="shared" si="48"/>
        <v>#N/A</v>
      </c>
      <c r="EH29" s="378" t="e">
        <f t="shared" si="48"/>
        <v>#N/A</v>
      </c>
      <c r="EI29" s="378" t="e">
        <f t="shared" si="48"/>
        <v>#N/A</v>
      </c>
      <c r="EJ29" s="354" t="e">
        <f t="shared" si="53"/>
        <v>#N/A</v>
      </c>
      <c r="EK29" s="380" t="e">
        <f t="shared" si="49"/>
        <v>#N/A</v>
      </c>
      <c r="EL29" s="380" t="e">
        <f t="shared" si="49"/>
        <v>#N/A</v>
      </c>
      <c r="EM29" s="380" t="e">
        <f t="shared" si="49"/>
        <v>#N/A</v>
      </c>
      <c r="EN29" s="380" t="e">
        <f t="shared" si="49"/>
        <v>#N/A</v>
      </c>
      <c r="EO29" s="380" t="e">
        <f t="shared" si="49"/>
        <v>#N/A</v>
      </c>
      <c r="EP29" s="380" t="e">
        <f t="shared" si="49"/>
        <v>#N/A</v>
      </c>
      <c r="EQ29" s="380" t="e">
        <f t="shared" si="49"/>
        <v>#N/A</v>
      </c>
      <c r="ER29" s="380" t="e">
        <f t="shared" si="49"/>
        <v>#N/A</v>
      </c>
      <c r="ES29" s="380" t="e">
        <f t="shared" si="49"/>
        <v>#N/A</v>
      </c>
      <c r="ET29" s="380" t="e">
        <f t="shared" si="49"/>
        <v>#N/A</v>
      </c>
      <c r="EU29" s="379" t="e">
        <f t="shared" si="54"/>
        <v>#N/A</v>
      </c>
      <c r="EV29" s="382"/>
      <c r="EW29" s="382"/>
      <c r="EX29" s="382"/>
      <c r="EY29" s="382"/>
      <c r="EZ29" s="382"/>
      <c r="FA29" s="382"/>
      <c r="FB29" s="382"/>
      <c r="FE29" s="583" t="s">
        <v>1679</v>
      </c>
      <c r="FF29" s="583"/>
      <c r="FG29" s="583"/>
      <c r="FH29" s="583"/>
    </row>
    <row r="30" spans="1:165" ht="51.5" customHeight="1" x14ac:dyDescent="0.3">
      <c r="A30" s="318"/>
      <c r="B30" s="318"/>
      <c r="C30" s="318"/>
      <c r="D30" s="318"/>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7"/>
      <c r="AN30" s="318"/>
      <c r="AO30" s="317"/>
      <c r="AP30" s="317"/>
      <c r="AQ30" s="317"/>
      <c r="AR30" s="317"/>
      <c r="AS30" s="317"/>
      <c r="AT30" s="317"/>
      <c r="AU30" s="318"/>
      <c r="AV30" s="318"/>
      <c r="AW30" s="318"/>
      <c r="AX30" s="318"/>
      <c r="AY30" s="318"/>
      <c r="AZ30" s="318"/>
      <c r="BA30" s="318"/>
      <c r="BB30" s="318"/>
      <c r="BC30" s="318"/>
      <c r="BD30" s="318"/>
      <c r="BE30" s="318"/>
      <c r="BF30" s="318"/>
      <c r="BG30" s="332"/>
      <c r="BH30" s="333"/>
      <c r="BI30" s="333"/>
      <c r="BJ30" s="333"/>
      <c r="BK30" s="333"/>
      <c r="BL30" s="333"/>
      <c r="BM30" s="333"/>
      <c r="BN30" s="333"/>
      <c r="BO30" s="333"/>
      <c r="BP30" s="333"/>
      <c r="BQ30" s="333"/>
      <c r="BR30" s="333"/>
      <c r="BS30" s="333"/>
      <c r="BT30" s="334"/>
      <c r="BU30" s="335"/>
      <c r="BV30" s="144"/>
      <c r="BY30" s="376"/>
      <c r="BZ30" s="373"/>
      <c r="CA30" s="373"/>
      <c r="CB30" s="373"/>
      <c r="CC30" s="373"/>
      <c r="CD30" s="373"/>
      <c r="CE30" s="373"/>
      <c r="CF30" s="373"/>
      <c r="CG30" s="373"/>
      <c r="CH30" s="378" t="e">
        <f t="shared" si="16"/>
        <v>#N/A</v>
      </c>
      <c r="CI30" s="378" t="e">
        <f t="shared" si="17"/>
        <v>#N/A</v>
      </c>
      <c r="CJ30" s="378" t="e">
        <f t="shared" si="18"/>
        <v>#N/A</v>
      </c>
      <c r="CK30" s="378" t="e">
        <f t="shared" si="19"/>
        <v>#N/A</v>
      </c>
      <c r="CL30" s="378" t="e">
        <f t="shared" si="20"/>
        <v>#N/A</v>
      </c>
      <c r="CM30" s="378" t="e">
        <f t="shared" si="21"/>
        <v>#N/A</v>
      </c>
      <c r="CN30" s="378" t="e">
        <f t="shared" si="22"/>
        <v>#N/A</v>
      </c>
      <c r="CO30" s="378" t="e">
        <f t="shared" si="23"/>
        <v>#N/A</v>
      </c>
      <c r="CP30" s="378" t="e">
        <f t="shared" si="24"/>
        <v>#N/A</v>
      </c>
      <c r="CQ30" s="378" t="e">
        <f t="shared" si="25"/>
        <v>#N/A</v>
      </c>
      <c r="CR30" s="354" t="e">
        <f t="shared" si="55"/>
        <v>#N/A</v>
      </c>
      <c r="CS30" s="379" t="e">
        <f>(HLOOKUP($AI30,'Inflation Adjustments'!$B$3:$BT$4,2,TRUE))*CH30</f>
        <v>#N/A</v>
      </c>
      <c r="CT30" s="379" t="e">
        <f>(HLOOKUP($AI30,'Inflation Adjustments'!$B$3:$BT$4,2,TRUE))*CI30</f>
        <v>#N/A</v>
      </c>
      <c r="CU30" s="379" t="e">
        <f>(HLOOKUP($AI30,'Inflation Adjustments'!$B$3:$BT$4,2,TRUE))*CJ30</f>
        <v>#N/A</v>
      </c>
      <c r="CV30" s="379" t="e">
        <f>(HLOOKUP($AI30,'Inflation Adjustments'!$B$3:$BT$4,2,TRUE))*CK30</f>
        <v>#N/A</v>
      </c>
      <c r="CW30" s="379" t="e">
        <f>(HLOOKUP($AI30,'Inflation Adjustments'!$B$3:$BT$4,2,TRUE))*CL30</f>
        <v>#N/A</v>
      </c>
      <c r="CX30" s="379" t="e">
        <f>(HLOOKUP($AI30,'Inflation Adjustments'!$B$3:$BT$4,2,TRUE))*CM30</f>
        <v>#N/A</v>
      </c>
      <c r="CY30" s="379" t="e">
        <f>(HLOOKUP($AI30,'Inflation Adjustments'!$B$3:$BT$4,2,TRUE))*CN30</f>
        <v>#N/A</v>
      </c>
      <c r="CZ30" s="379" t="e">
        <f>(HLOOKUP($AI30,'Inflation Adjustments'!$B$3:$BT$4,2,TRUE))*CO30</f>
        <v>#N/A</v>
      </c>
      <c r="DA30" s="379" t="e">
        <f>(HLOOKUP($AI30,'Inflation Adjustments'!$B$3:$BT$4,2,TRUE))*CP30</f>
        <v>#N/A</v>
      </c>
      <c r="DB30" s="379" t="e">
        <f>(HLOOKUP($AI30,'Inflation Adjustments'!$B$3:$BT$4,2,TRUE))*CQ30</f>
        <v>#N/A</v>
      </c>
      <c r="DC30" s="379" t="e">
        <f t="shared" si="27"/>
        <v>#N/A</v>
      </c>
      <c r="DD30" s="354">
        <f t="shared" si="28"/>
        <v>2022</v>
      </c>
      <c r="DE30" s="378" t="e">
        <f t="shared" si="29"/>
        <v>#N/A</v>
      </c>
      <c r="DF30" s="378" t="e">
        <f t="shared" si="30"/>
        <v>#N/A</v>
      </c>
      <c r="DG30" s="378" t="e">
        <f t="shared" si="31"/>
        <v>#N/A</v>
      </c>
      <c r="DH30" s="378" t="e">
        <f t="shared" si="32"/>
        <v>#N/A</v>
      </c>
      <c r="DI30" s="378" t="e">
        <f t="shared" si="33"/>
        <v>#N/A</v>
      </c>
      <c r="DJ30" s="378" t="e">
        <f t="shared" si="34"/>
        <v>#N/A</v>
      </c>
      <c r="DK30" s="378" t="e">
        <f t="shared" si="51"/>
        <v>#N/A</v>
      </c>
      <c r="DL30" s="378" t="e">
        <f t="shared" si="51"/>
        <v>#N/A</v>
      </c>
      <c r="DM30" s="378" t="e">
        <f t="shared" si="36"/>
        <v>#N/A</v>
      </c>
      <c r="DN30" s="378" t="e">
        <f t="shared" si="37"/>
        <v>#N/A</v>
      </c>
      <c r="DO30" s="380" t="e">
        <f t="shared" si="47"/>
        <v>#N/A</v>
      </c>
      <c r="DP30" s="380" t="e">
        <f t="shared" si="47"/>
        <v>#N/A</v>
      </c>
      <c r="DQ30" s="380" t="e">
        <f t="shared" si="47"/>
        <v>#N/A</v>
      </c>
      <c r="DR30" s="380" t="e">
        <f t="shared" si="47"/>
        <v>#N/A</v>
      </c>
      <c r="DS30" s="380" t="e">
        <f t="shared" si="47"/>
        <v>#N/A</v>
      </c>
      <c r="DT30" s="380" t="e">
        <f t="shared" si="47"/>
        <v>#N/A</v>
      </c>
      <c r="DU30" s="380" t="e">
        <f t="shared" si="47"/>
        <v>#N/A</v>
      </c>
      <c r="DV30" s="380" t="e">
        <f t="shared" si="47"/>
        <v>#N/A</v>
      </c>
      <c r="DW30" s="380" t="e">
        <f t="shared" si="47"/>
        <v>#N/A</v>
      </c>
      <c r="DX30" s="380" t="e">
        <f t="shared" si="47"/>
        <v>#N/A</v>
      </c>
      <c r="DY30" s="380" t="e">
        <f t="shared" si="56"/>
        <v>#N/A</v>
      </c>
      <c r="DZ30" s="378" t="e">
        <f t="shared" si="48"/>
        <v>#N/A</v>
      </c>
      <c r="EA30" s="378" t="e">
        <f t="shared" si="48"/>
        <v>#N/A</v>
      </c>
      <c r="EB30" s="378" t="e">
        <f t="shared" si="48"/>
        <v>#N/A</v>
      </c>
      <c r="EC30" s="378" t="e">
        <f t="shared" si="48"/>
        <v>#N/A</v>
      </c>
      <c r="ED30" s="378" t="e">
        <f t="shared" si="48"/>
        <v>#N/A</v>
      </c>
      <c r="EE30" s="378" t="e">
        <f t="shared" si="48"/>
        <v>#N/A</v>
      </c>
      <c r="EF30" s="378" t="e">
        <f t="shared" si="48"/>
        <v>#N/A</v>
      </c>
      <c r="EG30" s="378" t="e">
        <f t="shared" si="48"/>
        <v>#N/A</v>
      </c>
      <c r="EH30" s="378" t="e">
        <f t="shared" si="48"/>
        <v>#N/A</v>
      </c>
      <c r="EI30" s="378" t="e">
        <f t="shared" si="48"/>
        <v>#N/A</v>
      </c>
      <c r="EJ30" s="354" t="e">
        <f t="shared" si="53"/>
        <v>#N/A</v>
      </c>
      <c r="EK30" s="380" t="e">
        <f t="shared" si="49"/>
        <v>#N/A</v>
      </c>
      <c r="EL30" s="380" t="e">
        <f t="shared" si="49"/>
        <v>#N/A</v>
      </c>
      <c r="EM30" s="380" t="e">
        <f t="shared" si="49"/>
        <v>#N/A</v>
      </c>
      <c r="EN30" s="380" t="e">
        <f t="shared" si="49"/>
        <v>#N/A</v>
      </c>
      <c r="EO30" s="380" t="e">
        <f t="shared" si="49"/>
        <v>#N/A</v>
      </c>
      <c r="EP30" s="380" t="e">
        <f t="shared" si="49"/>
        <v>#N/A</v>
      </c>
      <c r="EQ30" s="380" t="e">
        <f t="shared" si="49"/>
        <v>#N/A</v>
      </c>
      <c r="ER30" s="380" t="e">
        <f t="shared" si="49"/>
        <v>#N/A</v>
      </c>
      <c r="ES30" s="380" t="e">
        <f t="shared" si="49"/>
        <v>#N/A</v>
      </c>
      <c r="ET30" s="380" t="e">
        <f t="shared" si="49"/>
        <v>#N/A</v>
      </c>
      <c r="EU30" s="379" t="e">
        <f t="shared" si="54"/>
        <v>#N/A</v>
      </c>
      <c r="EV30" s="382"/>
      <c r="EW30" s="382"/>
      <c r="EX30" s="382"/>
      <c r="EY30" s="382"/>
      <c r="EZ30" s="382"/>
      <c r="FA30" s="382"/>
      <c r="FB30" s="382"/>
      <c r="FE30" s="583" t="s">
        <v>1680</v>
      </c>
      <c r="FF30" s="583"/>
      <c r="FG30" s="583"/>
      <c r="FH30" s="583"/>
    </row>
    <row r="31" spans="1:165" ht="56.5" customHeight="1" x14ac:dyDescent="0.3">
      <c r="A31" s="318"/>
      <c r="B31" s="318"/>
      <c r="C31" s="318"/>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7"/>
      <c r="AN31" s="318"/>
      <c r="AO31" s="317"/>
      <c r="AP31" s="317"/>
      <c r="AQ31" s="317"/>
      <c r="AR31" s="317"/>
      <c r="AS31" s="317"/>
      <c r="AT31" s="317"/>
      <c r="AU31" s="318"/>
      <c r="AV31" s="318"/>
      <c r="AW31" s="318"/>
      <c r="AX31" s="318"/>
      <c r="AY31" s="318"/>
      <c r="AZ31" s="318"/>
      <c r="BA31" s="318"/>
      <c r="BB31" s="318"/>
      <c r="BC31" s="318"/>
      <c r="BD31" s="318"/>
      <c r="BE31" s="318"/>
      <c r="BF31" s="318"/>
      <c r="BG31" s="332"/>
      <c r="BH31" s="333"/>
      <c r="BI31" s="333"/>
      <c r="BJ31" s="333"/>
      <c r="BK31" s="333"/>
      <c r="BL31" s="333"/>
      <c r="BM31" s="333"/>
      <c r="BN31" s="333"/>
      <c r="BO31" s="333"/>
      <c r="BP31" s="333"/>
      <c r="BQ31" s="333"/>
      <c r="BR31" s="333"/>
      <c r="BS31" s="333"/>
      <c r="BT31" s="334"/>
      <c r="BU31" s="335"/>
      <c r="BV31" s="144"/>
      <c r="BY31" s="376"/>
      <c r="BZ31" s="373"/>
      <c r="CA31" s="373"/>
      <c r="CB31" s="373"/>
      <c r="CC31" s="373"/>
      <c r="CD31" s="373"/>
      <c r="CE31" s="373"/>
      <c r="CF31" s="373"/>
      <c r="CG31" s="373"/>
      <c r="CH31" s="378" t="e">
        <f t="shared" si="16"/>
        <v>#N/A</v>
      </c>
      <c r="CI31" s="378" t="e">
        <f t="shared" si="17"/>
        <v>#N/A</v>
      </c>
      <c r="CJ31" s="378" t="e">
        <f t="shared" si="18"/>
        <v>#N/A</v>
      </c>
      <c r="CK31" s="378" t="e">
        <f t="shared" si="19"/>
        <v>#N/A</v>
      </c>
      <c r="CL31" s="378" t="e">
        <f t="shared" si="20"/>
        <v>#N/A</v>
      </c>
      <c r="CM31" s="378" t="e">
        <f t="shared" si="21"/>
        <v>#N/A</v>
      </c>
      <c r="CN31" s="378" t="e">
        <f t="shared" si="22"/>
        <v>#N/A</v>
      </c>
      <c r="CO31" s="378" t="e">
        <f t="shared" si="23"/>
        <v>#N/A</v>
      </c>
      <c r="CP31" s="378" t="e">
        <f t="shared" si="24"/>
        <v>#N/A</v>
      </c>
      <c r="CQ31" s="378" t="e">
        <f t="shared" si="25"/>
        <v>#N/A</v>
      </c>
      <c r="CR31" s="354" t="e">
        <f t="shared" ref="CR31:CR34" si="57">SUM(CH31:CQ31)</f>
        <v>#N/A</v>
      </c>
      <c r="CS31" s="379" t="e">
        <f>(HLOOKUP($AI31,'Inflation Adjustments'!$B$3:$BT$4,2,TRUE))*CH31</f>
        <v>#N/A</v>
      </c>
      <c r="CT31" s="379" t="e">
        <f>(HLOOKUP($AI31,'Inflation Adjustments'!$B$3:$BT$4,2,TRUE))*CI31</f>
        <v>#N/A</v>
      </c>
      <c r="CU31" s="379" t="e">
        <f>(HLOOKUP($AI31,'Inflation Adjustments'!$B$3:$BT$4,2,TRUE))*CJ31</f>
        <v>#N/A</v>
      </c>
      <c r="CV31" s="379" t="e">
        <f>(HLOOKUP($AI31,'Inflation Adjustments'!$B$3:$BT$4,2,TRUE))*CK31</f>
        <v>#N/A</v>
      </c>
      <c r="CW31" s="379" t="e">
        <f>(HLOOKUP($AI31,'Inflation Adjustments'!$B$3:$BT$4,2,TRUE))*CL31</f>
        <v>#N/A</v>
      </c>
      <c r="CX31" s="379" t="e">
        <f>(HLOOKUP($AI31,'Inflation Adjustments'!$B$3:$BT$4,2,TRUE))*CM31</f>
        <v>#N/A</v>
      </c>
      <c r="CY31" s="379" t="e">
        <f>(HLOOKUP($AI31,'Inflation Adjustments'!$B$3:$BT$4,2,TRUE))*CN31</f>
        <v>#N/A</v>
      </c>
      <c r="CZ31" s="379" t="e">
        <f>(HLOOKUP($AI31,'Inflation Adjustments'!$B$3:$BT$4,2,TRUE))*CO31</f>
        <v>#N/A</v>
      </c>
      <c r="DA31" s="379" t="e">
        <f>(HLOOKUP($AI31,'Inflation Adjustments'!$B$3:$BT$4,2,TRUE))*CP31</f>
        <v>#N/A</v>
      </c>
      <c r="DB31" s="379" t="e">
        <f>(HLOOKUP($AI31,'Inflation Adjustments'!$B$3:$BT$4,2,TRUE))*CQ31</f>
        <v>#N/A</v>
      </c>
      <c r="DC31" s="379" t="e">
        <f t="shared" si="27"/>
        <v>#N/A</v>
      </c>
      <c r="DD31" s="354">
        <f t="shared" si="28"/>
        <v>2022</v>
      </c>
      <c r="DE31" s="378" t="e">
        <f t="shared" si="29"/>
        <v>#N/A</v>
      </c>
      <c r="DF31" s="378" t="e">
        <f t="shared" si="30"/>
        <v>#N/A</v>
      </c>
      <c r="DG31" s="378" t="e">
        <f t="shared" si="31"/>
        <v>#N/A</v>
      </c>
      <c r="DH31" s="378" t="e">
        <f t="shared" si="32"/>
        <v>#N/A</v>
      </c>
      <c r="DI31" s="378" t="e">
        <f t="shared" si="33"/>
        <v>#N/A</v>
      </c>
      <c r="DJ31" s="378" t="e">
        <f t="shared" si="34"/>
        <v>#N/A</v>
      </c>
      <c r="DK31" s="378" t="e">
        <f t="shared" si="51"/>
        <v>#N/A</v>
      </c>
      <c r="DL31" s="378" t="e">
        <f t="shared" si="51"/>
        <v>#N/A</v>
      </c>
      <c r="DM31" s="378" t="e">
        <f t="shared" si="36"/>
        <v>#N/A</v>
      </c>
      <c r="DN31" s="378" t="e">
        <f t="shared" si="37"/>
        <v>#N/A</v>
      </c>
      <c r="DO31" s="380" t="e">
        <f t="shared" si="47"/>
        <v>#N/A</v>
      </c>
      <c r="DP31" s="380" t="e">
        <f t="shared" si="47"/>
        <v>#N/A</v>
      </c>
      <c r="DQ31" s="380" t="e">
        <f t="shared" si="47"/>
        <v>#N/A</v>
      </c>
      <c r="DR31" s="380" t="e">
        <f t="shared" si="47"/>
        <v>#N/A</v>
      </c>
      <c r="DS31" s="380" t="e">
        <f t="shared" si="47"/>
        <v>#N/A</v>
      </c>
      <c r="DT31" s="380" t="e">
        <f t="shared" si="47"/>
        <v>#N/A</v>
      </c>
      <c r="DU31" s="380" t="e">
        <f t="shared" si="47"/>
        <v>#N/A</v>
      </c>
      <c r="DV31" s="380" t="e">
        <f t="shared" si="47"/>
        <v>#N/A</v>
      </c>
      <c r="DW31" s="380" t="e">
        <f t="shared" si="47"/>
        <v>#N/A</v>
      </c>
      <c r="DX31" s="380" t="e">
        <f t="shared" si="47"/>
        <v>#N/A</v>
      </c>
      <c r="DY31" s="380" t="e">
        <f t="shared" ref="DY31:DY34" si="58">SUM(DO31:DX31)</f>
        <v>#N/A</v>
      </c>
      <c r="DZ31" s="378" t="e">
        <f t="shared" si="48"/>
        <v>#N/A</v>
      </c>
      <c r="EA31" s="378" t="e">
        <f t="shared" si="48"/>
        <v>#N/A</v>
      </c>
      <c r="EB31" s="378" t="e">
        <f t="shared" si="48"/>
        <v>#N/A</v>
      </c>
      <c r="EC31" s="378" t="e">
        <f t="shared" si="48"/>
        <v>#N/A</v>
      </c>
      <c r="ED31" s="378" t="e">
        <f t="shared" si="48"/>
        <v>#N/A</v>
      </c>
      <c r="EE31" s="378" t="e">
        <f t="shared" si="48"/>
        <v>#N/A</v>
      </c>
      <c r="EF31" s="378" t="e">
        <f t="shared" si="48"/>
        <v>#N/A</v>
      </c>
      <c r="EG31" s="378" t="e">
        <f t="shared" si="48"/>
        <v>#N/A</v>
      </c>
      <c r="EH31" s="378" t="e">
        <f t="shared" si="48"/>
        <v>#N/A</v>
      </c>
      <c r="EI31" s="378" t="e">
        <f t="shared" si="48"/>
        <v>#N/A</v>
      </c>
      <c r="EJ31" s="354" t="e">
        <f t="shared" si="53"/>
        <v>#N/A</v>
      </c>
      <c r="EK31" s="380" t="e">
        <f t="shared" si="49"/>
        <v>#N/A</v>
      </c>
      <c r="EL31" s="380" t="e">
        <f t="shared" si="49"/>
        <v>#N/A</v>
      </c>
      <c r="EM31" s="380" t="e">
        <f t="shared" si="49"/>
        <v>#N/A</v>
      </c>
      <c r="EN31" s="380" t="e">
        <f t="shared" si="49"/>
        <v>#N/A</v>
      </c>
      <c r="EO31" s="380" t="e">
        <f t="shared" si="49"/>
        <v>#N/A</v>
      </c>
      <c r="EP31" s="380" t="e">
        <f t="shared" si="49"/>
        <v>#N/A</v>
      </c>
      <c r="EQ31" s="380" t="e">
        <f t="shared" si="49"/>
        <v>#N/A</v>
      </c>
      <c r="ER31" s="380" t="e">
        <f t="shared" si="49"/>
        <v>#N/A</v>
      </c>
      <c r="ES31" s="380" t="e">
        <f t="shared" si="49"/>
        <v>#N/A</v>
      </c>
      <c r="ET31" s="380" t="e">
        <f t="shared" si="49"/>
        <v>#N/A</v>
      </c>
      <c r="EU31" s="379" t="e">
        <f t="shared" si="54"/>
        <v>#N/A</v>
      </c>
      <c r="EV31" s="382"/>
      <c r="EW31" s="382"/>
      <c r="EX31" s="382"/>
      <c r="EY31" s="382"/>
      <c r="EZ31" s="382"/>
      <c r="FA31" s="382"/>
      <c r="FB31" s="382"/>
    </row>
    <row r="32" spans="1:165" ht="51.5" customHeight="1" x14ac:dyDescent="0.3">
      <c r="A32" s="318"/>
      <c r="B32" s="318"/>
      <c r="C32" s="318"/>
      <c r="D32" s="318"/>
      <c r="E32" s="318"/>
      <c r="F32" s="318"/>
      <c r="G32" s="318"/>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18"/>
      <c r="AM32" s="317"/>
      <c r="AN32" s="318"/>
      <c r="AO32" s="317"/>
      <c r="AP32" s="317"/>
      <c r="AQ32" s="317"/>
      <c r="AR32" s="317"/>
      <c r="AS32" s="317"/>
      <c r="AT32" s="317"/>
      <c r="AU32" s="318"/>
      <c r="AV32" s="318"/>
      <c r="AW32" s="318"/>
      <c r="AX32" s="318"/>
      <c r="AY32" s="318"/>
      <c r="AZ32" s="318"/>
      <c r="BA32" s="318"/>
      <c r="BB32" s="318"/>
      <c r="BC32" s="318"/>
      <c r="BD32" s="318"/>
      <c r="BE32" s="318"/>
      <c r="BF32" s="318"/>
      <c r="BG32" s="332"/>
      <c r="BH32" s="333"/>
      <c r="BI32" s="333"/>
      <c r="BJ32" s="333"/>
      <c r="BK32" s="333"/>
      <c r="BL32" s="333"/>
      <c r="BM32" s="333"/>
      <c r="BN32" s="333"/>
      <c r="BO32" s="333"/>
      <c r="BP32" s="333"/>
      <c r="BQ32" s="333"/>
      <c r="BR32" s="333"/>
      <c r="BS32" s="333"/>
      <c r="BT32" s="334"/>
      <c r="BU32" s="335"/>
      <c r="BV32" s="144"/>
      <c r="BY32" s="376"/>
      <c r="BZ32" s="373"/>
      <c r="CA32" s="373"/>
      <c r="CB32" s="373"/>
      <c r="CC32" s="373"/>
      <c r="CD32" s="373"/>
      <c r="CE32" s="373"/>
      <c r="CF32" s="373"/>
      <c r="CG32" s="373"/>
      <c r="CH32" s="378" t="e">
        <f t="shared" si="16"/>
        <v>#N/A</v>
      </c>
      <c r="CI32" s="378" t="e">
        <f t="shared" si="17"/>
        <v>#N/A</v>
      </c>
      <c r="CJ32" s="378" t="e">
        <f t="shared" si="18"/>
        <v>#N/A</v>
      </c>
      <c r="CK32" s="378" t="e">
        <f t="shared" si="19"/>
        <v>#N/A</v>
      </c>
      <c r="CL32" s="378" t="e">
        <f t="shared" si="20"/>
        <v>#N/A</v>
      </c>
      <c r="CM32" s="378" t="e">
        <f t="shared" si="21"/>
        <v>#N/A</v>
      </c>
      <c r="CN32" s="378" t="e">
        <f t="shared" si="22"/>
        <v>#N/A</v>
      </c>
      <c r="CO32" s="378" t="e">
        <f t="shared" si="23"/>
        <v>#N/A</v>
      </c>
      <c r="CP32" s="378" t="e">
        <f t="shared" si="24"/>
        <v>#N/A</v>
      </c>
      <c r="CQ32" s="378" t="e">
        <f t="shared" si="25"/>
        <v>#N/A</v>
      </c>
      <c r="CR32" s="354" t="e">
        <f t="shared" si="57"/>
        <v>#N/A</v>
      </c>
      <c r="CS32" s="379" t="e">
        <f>(HLOOKUP($AI32,'Inflation Adjustments'!$B$3:$BT$4,2,TRUE))*CH32</f>
        <v>#N/A</v>
      </c>
      <c r="CT32" s="379" t="e">
        <f>(HLOOKUP($AI32,'Inflation Adjustments'!$B$3:$BT$4,2,TRUE))*CI32</f>
        <v>#N/A</v>
      </c>
      <c r="CU32" s="379" t="e">
        <f>(HLOOKUP($AI32,'Inflation Adjustments'!$B$3:$BT$4,2,TRUE))*CJ32</f>
        <v>#N/A</v>
      </c>
      <c r="CV32" s="379" t="e">
        <f>(HLOOKUP($AI32,'Inflation Adjustments'!$B$3:$BT$4,2,TRUE))*CK32</f>
        <v>#N/A</v>
      </c>
      <c r="CW32" s="379" t="e">
        <f>(HLOOKUP($AI32,'Inflation Adjustments'!$B$3:$BT$4,2,TRUE))*CL32</f>
        <v>#N/A</v>
      </c>
      <c r="CX32" s="379" t="e">
        <f>(HLOOKUP($AI32,'Inflation Adjustments'!$B$3:$BT$4,2,TRUE))*CM32</f>
        <v>#N/A</v>
      </c>
      <c r="CY32" s="379" t="e">
        <f>(HLOOKUP($AI32,'Inflation Adjustments'!$B$3:$BT$4,2,TRUE))*CN32</f>
        <v>#N/A</v>
      </c>
      <c r="CZ32" s="379" t="e">
        <f>(HLOOKUP($AI32,'Inflation Adjustments'!$B$3:$BT$4,2,TRUE))*CO32</f>
        <v>#N/A</v>
      </c>
      <c r="DA32" s="379" t="e">
        <f>(HLOOKUP($AI32,'Inflation Adjustments'!$B$3:$BT$4,2,TRUE))*CP32</f>
        <v>#N/A</v>
      </c>
      <c r="DB32" s="379" t="e">
        <f>(HLOOKUP($AI32,'Inflation Adjustments'!$B$3:$BT$4,2,TRUE))*CQ32</f>
        <v>#N/A</v>
      </c>
      <c r="DC32" s="379" t="e">
        <f t="shared" si="27"/>
        <v>#N/A</v>
      </c>
      <c r="DD32" s="354">
        <f t="shared" si="28"/>
        <v>2022</v>
      </c>
      <c r="DE32" s="378" t="e">
        <f t="shared" si="29"/>
        <v>#N/A</v>
      </c>
      <c r="DF32" s="378" t="e">
        <f t="shared" si="30"/>
        <v>#N/A</v>
      </c>
      <c r="DG32" s="378" t="e">
        <f t="shared" si="31"/>
        <v>#N/A</v>
      </c>
      <c r="DH32" s="378" t="e">
        <f t="shared" si="32"/>
        <v>#N/A</v>
      </c>
      <c r="DI32" s="378" t="e">
        <f t="shared" si="33"/>
        <v>#N/A</v>
      </c>
      <c r="DJ32" s="378" t="e">
        <f t="shared" si="34"/>
        <v>#N/A</v>
      </c>
      <c r="DK32" s="378" t="e">
        <f t="shared" si="51"/>
        <v>#N/A</v>
      </c>
      <c r="DL32" s="378" t="e">
        <f t="shared" si="51"/>
        <v>#N/A</v>
      </c>
      <c r="DM32" s="378" t="e">
        <f t="shared" si="36"/>
        <v>#N/A</v>
      </c>
      <c r="DN32" s="378" t="e">
        <f t="shared" si="37"/>
        <v>#N/A</v>
      </c>
      <c r="DO32" s="380" t="e">
        <f t="shared" si="47"/>
        <v>#N/A</v>
      </c>
      <c r="DP32" s="380" t="e">
        <f t="shared" si="47"/>
        <v>#N/A</v>
      </c>
      <c r="DQ32" s="380" t="e">
        <f t="shared" si="47"/>
        <v>#N/A</v>
      </c>
      <c r="DR32" s="380" t="e">
        <f t="shared" si="47"/>
        <v>#N/A</v>
      </c>
      <c r="DS32" s="380" t="e">
        <f t="shared" si="47"/>
        <v>#N/A</v>
      </c>
      <c r="DT32" s="380" t="e">
        <f t="shared" si="47"/>
        <v>#N/A</v>
      </c>
      <c r="DU32" s="380" t="e">
        <f t="shared" si="47"/>
        <v>#N/A</v>
      </c>
      <c r="DV32" s="380" t="e">
        <f t="shared" si="47"/>
        <v>#N/A</v>
      </c>
      <c r="DW32" s="380" t="e">
        <f t="shared" si="47"/>
        <v>#N/A</v>
      </c>
      <c r="DX32" s="380" t="e">
        <f t="shared" si="47"/>
        <v>#N/A</v>
      </c>
      <c r="DY32" s="380" t="e">
        <f t="shared" si="58"/>
        <v>#N/A</v>
      </c>
      <c r="DZ32" s="378" t="e">
        <f t="shared" si="48"/>
        <v>#N/A</v>
      </c>
      <c r="EA32" s="378" t="e">
        <f t="shared" si="48"/>
        <v>#N/A</v>
      </c>
      <c r="EB32" s="378" t="e">
        <f t="shared" si="48"/>
        <v>#N/A</v>
      </c>
      <c r="EC32" s="378" t="e">
        <f t="shared" si="48"/>
        <v>#N/A</v>
      </c>
      <c r="ED32" s="378" t="e">
        <f t="shared" si="48"/>
        <v>#N/A</v>
      </c>
      <c r="EE32" s="378" t="e">
        <f t="shared" si="48"/>
        <v>#N/A</v>
      </c>
      <c r="EF32" s="378" t="e">
        <f t="shared" si="48"/>
        <v>#N/A</v>
      </c>
      <c r="EG32" s="378" t="e">
        <f t="shared" si="48"/>
        <v>#N/A</v>
      </c>
      <c r="EH32" s="378" t="e">
        <f t="shared" si="48"/>
        <v>#N/A</v>
      </c>
      <c r="EI32" s="378" t="e">
        <f t="shared" si="48"/>
        <v>#N/A</v>
      </c>
      <c r="EJ32" s="354" t="e">
        <f t="shared" si="53"/>
        <v>#N/A</v>
      </c>
      <c r="EK32" s="380" t="e">
        <f t="shared" si="49"/>
        <v>#N/A</v>
      </c>
      <c r="EL32" s="380" t="e">
        <f t="shared" si="49"/>
        <v>#N/A</v>
      </c>
      <c r="EM32" s="380" t="e">
        <f t="shared" si="49"/>
        <v>#N/A</v>
      </c>
      <c r="EN32" s="380" t="e">
        <f t="shared" si="49"/>
        <v>#N/A</v>
      </c>
      <c r="EO32" s="380" t="e">
        <f t="shared" si="49"/>
        <v>#N/A</v>
      </c>
      <c r="EP32" s="380" t="e">
        <f t="shared" si="49"/>
        <v>#N/A</v>
      </c>
      <c r="EQ32" s="380" t="e">
        <f t="shared" si="49"/>
        <v>#N/A</v>
      </c>
      <c r="ER32" s="380" t="e">
        <f t="shared" si="49"/>
        <v>#N/A</v>
      </c>
      <c r="ES32" s="380" t="e">
        <f t="shared" si="49"/>
        <v>#N/A</v>
      </c>
      <c r="ET32" s="380" t="e">
        <f t="shared" si="49"/>
        <v>#N/A</v>
      </c>
      <c r="EU32" s="379" t="e">
        <f t="shared" si="54"/>
        <v>#N/A</v>
      </c>
      <c r="EV32" s="382"/>
      <c r="EW32" s="382"/>
      <c r="EX32" s="382"/>
      <c r="EY32" s="382"/>
      <c r="EZ32" s="382"/>
      <c r="FA32" s="382"/>
      <c r="FB32" s="382"/>
    </row>
    <row r="33" spans="1:158" ht="50" customHeight="1" x14ac:dyDescent="0.3">
      <c r="A33" s="318"/>
      <c r="B33" s="318"/>
      <c r="C33" s="318"/>
      <c r="D33" s="318"/>
      <c r="E33" s="318"/>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8"/>
      <c r="AM33" s="317"/>
      <c r="AN33" s="318"/>
      <c r="AO33" s="317"/>
      <c r="AP33" s="317"/>
      <c r="AQ33" s="317"/>
      <c r="AR33" s="317"/>
      <c r="AS33" s="317"/>
      <c r="AT33" s="317"/>
      <c r="AU33" s="318"/>
      <c r="AV33" s="318"/>
      <c r="AW33" s="318"/>
      <c r="AX33" s="318"/>
      <c r="AY33" s="318"/>
      <c r="AZ33" s="318"/>
      <c r="BA33" s="318"/>
      <c r="BB33" s="318"/>
      <c r="BC33" s="318"/>
      <c r="BD33" s="318"/>
      <c r="BE33" s="318"/>
      <c r="BF33" s="318"/>
      <c r="BG33" s="332"/>
      <c r="BH33" s="333"/>
      <c r="BI33" s="333"/>
      <c r="BJ33" s="333"/>
      <c r="BK33" s="333"/>
      <c r="BL33" s="333"/>
      <c r="BM33" s="333"/>
      <c r="BN33" s="333"/>
      <c r="BO33" s="333"/>
      <c r="BP33" s="333"/>
      <c r="BQ33" s="333"/>
      <c r="BR33" s="333"/>
      <c r="BS33" s="333"/>
      <c r="BT33" s="334"/>
      <c r="BU33" s="335"/>
      <c r="BV33" s="144"/>
      <c r="BY33" s="376"/>
      <c r="BZ33" s="373"/>
      <c r="CA33" s="373"/>
      <c r="CB33" s="373"/>
      <c r="CC33" s="373"/>
      <c r="CD33" s="373"/>
      <c r="CE33" s="373"/>
      <c r="CF33" s="373"/>
      <c r="CG33" s="373"/>
      <c r="CH33" s="378" t="e">
        <f t="shared" si="16"/>
        <v>#N/A</v>
      </c>
      <c r="CI33" s="378" t="e">
        <f t="shared" si="17"/>
        <v>#N/A</v>
      </c>
      <c r="CJ33" s="378" t="e">
        <f t="shared" si="18"/>
        <v>#N/A</v>
      </c>
      <c r="CK33" s="378" t="e">
        <f t="shared" si="19"/>
        <v>#N/A</v>
      </c>
      <c r="CL33" s="378" t="e">
        <f t="shared" si="20"/>
        <v>#N/A</v>
      </c>
      <c r="CM33" s="378" t="e">
        <f t="shared" si="21"/>
        <v>#N/A</v>
      </c>
      <c r="CN33" s="378" t="e">
        <f t="shared" si="22"/>
        <v>#N/A</v>
      </c>
      <c r="CO33" s="378" t="e">
        <f t="shared" si="23"/>
        <v>#N/A</v>
      </c>
      <c r="CP33" s="378" t="e">
        <f t="shared" si="24"/>
        <v>#N/A</v>
      </c>
      <c r="CQ33" s="378" t="e">
        <f t="shared" si="25"/>
        <v>#N/A</v>
      </c>
      <c r="CR33" s="354" t="e">
        <f t="shared" si="57"/>
        <v>#N/A</v>
      </c>
      <c r="CS33" s="379" t="e">
        <f>(HLOOKUP($AI33,'Inflation Adjustments'!$B$3:$BT$4,2,TRUE))*CH33</f>
        <v>#N/A</v>
      </c>
      <c r="CT33" s="379" t="e">
        <f>(HLOOKUP($AI33,'Inflation Adjustments'!$B$3:$BT$4,2,TRUE))*CI33</f>
        <v>#N/A</v>
      </c>
      <c r="CU33" s="379" t="e">
        <f>(HLOOKUP($AI33,'Inflation Adjustments'!$B$3:$BT$4,2,TRUE))*CJ33</f>
        <v>#N/A</v>
      </c>
      <c r="CV33" s="379" t="e">
        <f>(HLOOKUP($AI33,'Inflation Adjustments'!$B$3:$BT$4,2,TRUE))*CK33</f>
        <v>#N/A</v>
      </c>
      <c r="CW33" s="379" t="e">
        <f>(HLOOKUP($AI33,'Inflation Adjustments'!$B$3:$BT$4,2,TRUE))*CL33</f>
        <v>#N/A</v>
      </c>
      <c r="CX33" s="379" t="e">
        <f>(HLOOKUP($AI33,'Inflation Adjustments'!$B$3:$BT$4,2,TRUE))*CM33</f>
        <v>#N/A</v>
      </c>
      <c r="CY33" s="379" t="e">
        <f>(HLOOKUP($AI33,'Inflation Adjustments'!$B$3:$BT$4,2,TRUE))*CN33</f>
        <v>#N/A</v>
      </c>
      <c r="CZ33" s="379" t="e">
        <f>(HLOOKUP($AI33,'Inflation Adjustments'!$B$3:$BT$4,2,TRUE))*CO33</f>
        <v>#N/A</v>
      </c>
      <c r="DA33" s="379" t="e">
        <f>(HLOOKUP($AI33,'Inflation Adjustments'!$B$3:$BT$4,2,TRUE))*CP33</f>
        <v>#N/A</v>
      </c>
      <c r="DB33" s="379" t="e">
        <f>(HLOOKUP($AI33,'Inflation Adjustments'!$B$3:$BT$4,2,TRUE))*CQ33</f>
        <v>#N/A</v>
      </c>
      <c r="DC33" s="379" t="e">
        <f t="shared" si="27"/>
        <v>#N/A</v>
      </c>
      <c r="DD33" s="354">
        <f t="shared" si="28"/>
        <v>2022</v>
      </c>
      <c r="DE33" s="378" t="e">
        <f t="shared" si="29"/>
        <v>#N/A</v>
      </c>
      <c r="DF33" s="378" t="e">
        <f t="shared" si="30"/>
        <v>#N/A</v>
      </c>
      <c r="DG33" s="378" t="e">
        <f t="shared" si="31"/>
        <v>#N/A</v>
      </c>
      <c r="DH33" s="378" t="e">
        <f t="shared" si="32"/>
        <v>#N/A</v>
      </c>
      <c r="DI33" s="378" t="e">
        <f t="shared" si="33"/>
        <v>#N/A</v>
      </c>
      <c r="DJ33" s="378" t="e">
        <f t="shared" si="34"/>
        <v>#N/A</v>
      </c>
      <c r="DK33" s="378" t="e">
        <f t="shared" si="51"/>
        <v>#N/A</v>
      </c>
      <c r="DL33" s="378" t="e">
        <f t="shared" si="51"/>
        <v>#N/A</v>
      </c>
      <c r="DM33" s="378" t="e">
        <f t="shared" si="36"/>
        <v>#N/A</v>
      </c>
      <c r="DN33" s="378" t="e">
        <f t="shared" si="37"/>
        <v>#N/A</v>
      </c>
      <c r="DO33" s="380" t="e">
        <f t="shared" si="47"/>
        <v>#N/A</v>
      </c>
      <c r="DP33" s="380" t="e">
        <f t="shared" si="47"/>
        <v>#N/A</v>
      </c>
      <c r="DQ33" s="380" t="e">
        <f t="shared" si="47"/>
        <v>#N/A</v>
      </c>
      <c r="DR33" s="380" t="e">
        <f t="shared" si="47"/>
        <v>#N/A</v>
      </c>
      <c r="DS33" s="380" t="e">
        <f t="shared" si="47"/>
        <v>#N/A</v>
      </c>
      <c r="DT33" s="380" t="e">
        <f t="shared" si="47"/>
        <v>#N/A</v>
      </c>
      <c r="DU33" s="380" t="e">
        <f t="shared" si="47"/>
        <v>#N/A</v>
      </c>
      <c r="DV33" s="380" t="e">
        <f t="shared" si="47"/>
        <v>#N/A</v>
      </c>
      <c r="DW33" s="380" t="e">
        <f t="shared" si="47"/>
        <v>#N/A</v>
      </c>
      <c r="DX33" s="380" t="e">
        <f t="shared" si="47"/>
        <v>#N/A</v>
      </c>
      <c r="DY33" s="380" t="e">
        <f t="shared" si="58"/>
        <v>#N/A</v>
      </c>
      <c r="DZ33" s="378" t="e">
        <f t="shared" si="48"/>
        <v>#N/A</v>
      </c>
      <c r="EA33" s="378" t="e">
        <f t="shared" si="48"/>
        <v>#N/A</v>
      </c>
      <c r="EB33" s="378" t="e">
        <f t="shared" si="48"/>
        <v>#N/A</v>
      </c>
      <c r="EC33" s="378" t="e">
        <f t="shared" si="48"/>
        <v>#N/A</v>
      </c>
      <c r="ED33" s="378" t="e">
        <f t="shared" si="48"/>
        <v>#N/A</v>
      </c>
      <c r="EE33" s="378" t="e">
        <f t="shared" si="48"/>
        <v>#N/A</v>
      </c>
      <c r="EF33" s="378" t="e">
        <f t="shared" si="48"/>
        <v>#N/A</v>
      </c>
      <c r="EG33" s="378" t="e">
        <f t="shared" si="48"/>
        <v>#N/A</v>
      </c>
      <c r="EH33" s="378" t="e">
        <f t="shared" si="48"/>
        <v>#N/A</v>
      </c>
      <c r="EI33" s="378" t="e">
        <f t="shared" si="48"/>
        <v>#N/A</v>
      </c>
      <c r="EJ33" s="354" t="e">
        <f t="shared" si="53"/>
        <v>#N/A</v>
      </c>
      <c r="EK33" s="380" t="e">
        <f t="shared" si="49"/>
        <v>#N/A</v>
      </c>
      <c r="EL33" s="380" t="e">
        <f t="shared" si="49"/>
        <v>#N/A</v>
      </c>
      <c r="EM33" s="380" t="e">
        <f t="shared" si="49"/>
        <v>#N/A</v>
      </c>
      <c r="EN33" s="380" t="e">
        <f t="shared" si="49"/>
        <v>#N/A</v>
      </c>
      <c r="EO33" s="380" t="e">
        <f t="shared" si="49"/>
        <v>#N/A</v>
      </c>
      <c r="EP33" s="380" t="e">
        <f t="shared" si="49"/>
        <v>#N/A</v>
      </c>
      <c r="EQ33" s="380" t="e">
        <f t="shared" si="49"/>
        <v>#N/A</v>
      </c>
      <c r="ER33" s="380" t="e">
        <f t="shared" si="49"/>
        <v>#N/A</v>
      </c>
      <c r="ES33" s="380" t="e">
        <f t="shared" si="49"/>
        <v>#N/A</v>
      </c>
      <c r="ET33" s="380" t="e">
        <f t="shared" si="49"/>
        <v>#N/A</v>
      </c>
      <c r="EU33" s="379" t="e">
        <f t="shared" si="54"/>
        <v>#N/A</v>
      </c>
      <c r="EV33" s="382"/>
      <c r="EW33" s="382"/>
      <c r="EX33" s="382"/>
      <c r="EY33" s="382"/>
      <c r="EZ33" s="382"/>
      <c r="FA33" s="382"/>
      <c r="FB33" s="382"/>
    </row>
    <row r="34" spans="1:158" ht="45.5" customHeight="1" x14ac:dyDescent="0.3">
      <c r="A34" s="318"/>
      <c r="B34" s="318"/>
      <c r="C34" s="318"/>
      <c r="D34" s="318"/>
      <c r="E34" s="318"/>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c r="AI34" s="318"/>
      <c r="AJ34" s="318"/>
      <c r="AK34" s="318"/>
      <c r="AL34" s="318"/>
      <c r="AM34" s="317"/>
      <c r="AN34" s="318"/>
      <c r="AO34" s="317"/>
      <c r="AP34" s="317"/>
      <c r="AQ34" s="317"/>
      <c r="AR34" s="317"/>
      <c r="AS34" s="317"/>
      <c r="AT34" s="317"/>
      <c r="AU34" s="318"/>
      <c r="AV34" s="318"/>
      <c r="AW34" s="318"/>
      <c r="AX34" s="318"/>
      <c r="AY34" s="318"/>
      <c r="AZ34" s="318"/>
      <c r="BA34" s="318"/>
      <c r="BB34" s="318"/>
      <c r="BC34" s="318"/>
      <c r="BD34" s="318"/>
      <c r="BE34" s="318"/>
      <c r="BF34" s="318"/>
      <c r="BG34" s="332"/>
      <c r="BH34" s="333"/>
      <c r="BI34" s="333"/>
      <c r="BJ34" s="333"/>
      <c r="BK34" s="333"/>
      <c r="BL34" s="333"/>
      <c r="BM34" s="333"/>
      <c r="BN34" s="333"/>
      <c r="BO34" s="333"/>
      <c r="BP34" s="333"/>
      <c r="BQ34" s="333"/>
      <c r="BR34" s="333"/>
      <c r="BS34" s="333"/>
      <c r="BT34" s="334"/>
      <c r="BU34" s="335"/>
      <c r="BV34" s="144"/>
      <c r="BY34" s="376"/>
      <c r="BZ34" s="373"/>
      <c r="CA34" s="373"/>
      <c r="CB34" s="373"/>
      <c r="CC34" s="373"/>
      <c r="CD34" s="373"/>
      <c r="CE34" s="373"/>
      <c r="CF34" s="373"/>
      <c r="CG34" s="373"/>
      <c r="CH34" s="378" t="e">
        <f t="shared" si="16"/>
        <v>#N/A</v>
      </c>
      <c r="CI34" s="378" t="e">
        <f t="shared" si="17"/>
        <v>#N/A</v>
      </c>
      <c r="CJ34" s="378" t="e">
        <f t="shared" si="18"/>
        <v>#N/A</v>
      </c>
      <c r="CK34" s="378" t="e">
        <f t="shared" si="19"/>
        <v>#N/A</v>
      </c>
      <c r="CL34" s="378" t="e">
        <f t="shared" si="20"/>
        <v>#N/A</v>
      </c>
      <c r="CM34" s="378" t="e">
        <f t="shared" si="21"/>
        <v>#N/A</v>
      </c>
      <c r="CN34" s="378" t="e">
        <f t="shared" si="22"/>
        <v>#N/A</v>
      </c>
      <c r="CO34" s="378" t="e">
        <f t="shared" si="23"/>
        <v>#N/A</v>
      </c>
      <c r="CP34" s="378" t="e">
        <f t="shared" si="24"/>
        <v>#N/A</v>
      </c>
      <c r="CQ34" s="378" t="e">
        <f t="shared" si="25"/>
        <v>#N/A</v>
      </c>
      <c r="CR34" s="354" t="e">
        <f t="shared" si="57"/>
        <v>#N/A</v>
      </c>
      <c r="CS34" s="379" t="e">
        <f>(HLOOKUP($AI34,'Inflation Adjustments'!$B$3:$BT$4,2,TRUE))*CH34</f>
        <v>#N/A</v>
      </c>
      <c r="CT34" s="379" t="e">
        <f>(HLOOKUP($AI34,'Inflation Adjustments'!$B$3:$BT$4,2,TRUE))*CI34</f>
        <v>#N/A</v>
      </c>
      <c r="CU34" s="379" t="e">
        <f>(HLOOKUP($AI34,'Inflation Adjustments'!$B$3:$BT$4,2,TRUE))*CJ34</f>
        <v>#N/A</v>
      </c>
      <c r="CV34" s="379" t="e">
        <f>(HLOOKUP($AI34,'Inflation Adjustments'!$B$3:$BT$4,2,TRUE))*CK34</f>
        <v>#N/A</v>
      </c>
      <c r="CW34" s="379" t="e">
        <f>(HLOOKUP($AI34,'Inflation Adjustments'!$B$3:$BT$4,2,TRUE))*CL34</f>
        <v>#N/A</v>
      </c>
      <c r="CX34" s="379" t="e">
        <f>(HLOOKUP($AI34,'Inflation Adjustments'!$B$3:$BT$4,2,TRUE))*CM34</f>
        <v>#N/A</v>
      </c>
      <c r="CY34" s="379" t="e">
        <f>(HLOOKUP($AI34,'Inflation Adjustments'!$B$3:$BT$4,2,TRUE))*CN34</f>
        <v>#N/A</v>
      </c>
      <c r="CZ34" s="379" t="e">
        <f>(HLOOKUP($AI34,'Inflation Adjustments'!$B$3:$BT$4,2,TRUE))*CO34</f>
        <v>#N/A</v>
      </c>
      <c r="DA34" s="379" t="e">
        <f>(HLOOKUP($AI34,'Inflation Adjustments'!$B$3:$BT$4,2,TRUE))*CP34</f>
        <v>#N/A</v>
      </c>
      <c r="DB34" s="379" t="e">
        <f>(HLOOKUP($AI34,'Inflation Adjustments'!$B$3:$BT$4,2,TRUE))*CQ34</f>
        <v>#N/A</v>
      </c>
      <c r="DC34" s="379" t="e">
        <f t="shared" si="27"/>
        <v>#N/A</v>
      </c>
      <c r="DD34" s="354">
        <f t="shared" si="28"/>
        <v>2022</v>
      </c>
      <c r="DE34" s="378" t="e">
        <f t="shared" si="29"/>
        <v>#N/A</v>
      </c>
      <c r="DF34" s="378" t="e">
        <f t="shared" si="30"/>
        <v>#N/A</v>
      </c>
      <c r="DG34" s="378" t="e">
        <f t="shared" si="31"/>
        <v>#N/A</v>
      </c>
      <c r="DH34" s="378" t="e">
        <f t="shared" si="32"/>
        <v>#N/A</v>
      </c>
      <c r="DI34" s="378" t="e">
        <f t="shared" si="33"/>
        <v>#N/A</v>
      </c>
      <c r="DJ34" s="378" t="e">
        <f t="shared" si="34"/>
        <v>#N/A</v>
      </c>
      <c r="DK34" s="378" t="e">
        <f t="shared" si="51"/>
        <v>#N/A</v>
      </c>
      <c r="DL34" s="378" t="e">
        <f t="shared" si="51"/>
        <v>#N/A</v>
      </c>
      <c r="DM34" s="378" t="e">
        <f t="shared" si="36"/>
        <v>#N/A</v>
      </c>
      <c r="DN34" s="378" t="e">
        <f t="shared" si="37"/>
        <v>#N/A</v>
      </c>
      <c r="DO34" s="380" t="e">
        <f t="shared" si="47"/>
        <v>#N/A</v>
      </c>
      <c r="DP34" s="380" t="e">
        <f t="shared" si="47"/>
        <v>#N/A</v>
      </c>
      <c r="DQ34" s="380" t="e">
        <f t="shared" si="47"/>
        <v>#N/A</v>
      </c>
      <c r="DR34" s="380" t="e">
        <f t="shared" si="47"/>
        <v>#N/A</v>
      </c>
      <c r="DS34" s="380" t="e">
        <f t="shared" si="47"/>
        <v>#N/A</v>
      </c>
      <c r="DT34" s="380" t="e">
        <f t="shared" si="47"/>
        <v>#N/A</v>
      </c>
      <c r="DU34" s="380" t="e">
        <f t="shared" si="47"/>
        <v>#N/A</v>
      </c>
      <c r="DV34" s="380" t="e">
        <f t="shared" si="47"/>
        <v>#N/A</v>
      </c>
      <c r="DW34" s="380" t="e">
        <f t="shared" si="47"/>
        <v>#N/A</v>
      </c>
      <c r="DX34" s="380" t="e">
        <f t="shared" si="47"/>
        <v>#N/A</v>
      </c>
      <c r="DY34" s="380" t="e">
        <f t="shared" si="58"/>
        <v>#N/A</v>
      </c>
      <c r="DZ34" s="378" t="e">
        <f t="shared" si="48"/>
        <v>#N/A</v>
      </c>
      <c r="EA34" s="378" t="e">
        <f t="shared" si="48"/>
        <v>#N/A</v>
      </c>
      <c r="EB34" s="378" t="e">
        <f t="shared" si="48"/>
        <v>#N/A</v>
      </c>
      <c r="EC34" s="378" t="e">
        <f t="shared" si="48"/>
        <v>#N/A</v>
      </c>
      <c r="ED34" s="378" t="e">
        <f t="shared" si="48"/>
        <v>#N/A</v>
      </c>
      <c r="EE34" s="378" t="e">
        <f t="shared" si="48"/>
        <v>#N/A</v>
      </c>
      <c r="EF34" s="378" t="e">
        <f t="shared" si="48"/>
        <v>#N/A</v>
      </c>
      <c r="EG34" s="378" t="e">
        <f t="shared" si="48"/>
        <v>#N/A</v>
      </c>
      <c r="EH34" s="378" t="e">
        <f t="shared" si="48"/>
        <v>#N/A</v>
      </c>
      <c r="EI34" s="378" t="e">
        <f t="shared" si="48"/>
        <v>#N/A</v>
      </c>
      <c r="EJ34" s="354" t="e">
        <f t="shared" si="53"/>
        <v>#N/A</v>
      </c>
      <c r="EK34" s="380" t="e">
        <f t="shared" si="49"/>
        <v>#N/A</v>
      </c>
      <c r="EL34" s="380" t="e">
        <f t="shared" si="49"/>
        <v>#N/A</v>
      </c>
      <c r="EM34" s="380" t="e">
        <f t="shared" si="49"/>
        <v>#N/A</v>
      </c>
      <c r="EN34" s="380" t="e">
        <f t="shared" si="49"/>
        <v>#N/A</v>
      </c>
      <c r="EO34" s="380" t="e">
        <f t="shared" si="49"/>
        <v>#N/A</v>
      </c>
      <c r="EP34" s="380" t="e">
        <f t="shared" si="49"/>
        <v>#N/A</v>
      </c>
      <c r="EQ34" s="380" t="e">
        <f t="shared" si="49"/>
        <v>#N/A</v>
      </c>
      <c r="ER34" s="380" t="e">
        <f t="shared" si="49"/>
        <v>#N/A</v>
      </c>
      <c r="ES34" s="380" t="e">
        <f t="shared" si="49"/>
        <v>#N/A</v>
      </c>
      <c r="ET34" s="380" t="e">
        <f t="shared" si="49"/>
        <v>#N/A</v>
      </c>
      <c r="EU34" s="379" t="e">
        <f t="shared" si="54"/>
        <v>#N/A</v>
      </c>
      <c r="EV34" s="382"/>
      <c r="EW34" s="382"/>
      <c r="EX34" s="382"/>
      <c r="EY34" s="382"/>
      <c r="EZ34" s="382"/>
      <c r="FA34" s="382"/>
      <c r="FB34" s="382"/>
    </row>
    <row r="35" spans="1:158" x14ac:dyDescent="0.3">
      <c r="AM35" s="385"/>
      <c r="AO35" s="385"/>
      <c r="AP35" s="385"/>
      <c r="AQ35" s="385"/>
      <c r="AS35" s="385"/>
      <c r="AT35" s="385"/>
      <c r="BG35" s="282"/>
    </row>
    <row r="36" spans="1:158" x14ac:dyDescent="0.3">
      <c r="BG36" s="282"/>
    </row>
    <row r="37" spans="1:158" x14ac:dyDescent="0.3">
      <c r="BG37" s="282"/>
    </row>
    <row r="38" spans="1:158" x14ac:dyDescent="0.3">
      <c r="BG38" s="282"/>
    </row>
    <row r="41" spans="1:158" x14ac:dyDescent="0.3">
      <c r="BF41" s="282" t="s">
        <v>1207</v>
      </c>
    </row>
    <row r="42" spans="1:158" x14ac:dyDescent="0.3">
      <c r="BF42" s="282" t="s">
        <v>1208</v>
      </c>
    </row>
    <row r="43" spans="1:158" x14ac:dyDescent="0.3">
      <c r="BF43" s="282" t="s">
        <v>1209</v>
      </c>
    </row>
    <row r="44" spans="1:158" x14ac:dyDescent="0.3">
      <c r="BF44" s="282" t="s">
        <v>1210</v>
      </c>
    </row>
    <row r="50" spans="2:46" ht="39" customHeight="1" x14ac:dyDescent="0.3">
      <c r="B50" s="91" t="s">
        <v>52</v>
      </c>
      <c r="AM50" s="508">
        <f>SUM(AM5:AM11)</f>
        <v>8336179.0594979227</v>
      </c>
      <c r="AN50" s="508">
        <f t="shared" ref="AN50:AT50" si="59">SUM(AN5:AN11)</f>
        <v>0</v>
      </c>
      <c r="AO50" s="508">
        <f t="shared" si="59"/>
        <v>1356705.2084634879</v>
      </c>
      <c r="AP50" s="508">
        <f t="shared" si="59"/>
        <v>6979473.8510344354</v>
      </c>
      <c r="AQ50" s="508">
        <f t="shared" si="59"/>
        <v>187904.39249680212</v>
      </c>
      <c r="AR50" s="508">
        <f t="shared" si="59"/>
        <v>6791569.4585376335</v>
      </c>
      <c r="AS50" s="508">
        <f t="shared" si="59"/>
        <v>14855446.199671874</v>
      </c>
      <c r="AT50" s="508">
        <f t="shared" si="59"/>
        <v>74277.230998359373</v>
      </c>
    </row>
  </sheetData>
  <mergeCells count="62">
    <mergeCell ref="BP3:BP4"/>
    <mergeCell ref="FB3:FB4"/>
    <mergeCell ref="J3:S3"/>
    <mergeCell ref="T3:AC3"/>
    <mergeCell ref="BJ3:BJ4"/>
    <mergeCell ref="BE3:BE4"/>
    <mergeCell ref="BF3:BF4"/>
    <mergeCell ref="AS3:AS4"/>
    <mergeCell ref="AT3:AT4"/>
    <mergeCell ref="AU3:BD3"/>
    <mergeCell ref="BH3:BH4"/>
    <mergeCell ref="BI3:BI4"/>
    <mergeCell ref="BQ3:BQ4"/>
    <mergeCell ref="BR3:BR4"/>
    <mergeCell ref="BS3:BS4"/>
    <mergeCell ref="BT3:BT4"/>
    <mergeCell ref="A2:I2"/>
    <mergeCell ref="J2:AE2"/>
    <mergeCell ref="AF2:AR2"/>
    <mergeCell ref="AS2:BG2"/>
    <mergeCell ref="BH2:BT2"/>
    <mergeCell ref="BU3:BU4"/>
    <mergeCell ref="CH3:CR3"/>
    <mergeCell ref="DZ3:EJ3"/>
    <mergeCell ref="DO3:DY3"/>
    <mergeCell ref="CS3:DC3"/>
    <mergeCell ref="DE3:DN3"/>
    <mergeCell ref="BK3:BK4"/>
    <mergeCell ref="BL3:BL4"/>
    <mergeCell ref="BM3:BM4"/>
    <mergeCell ref="BN3:BN4"/>
    <mergeCell ref="BO3:BO4"/>
    <mergeCell ref="FD10:FI10"/>
    <mergeCell ref="FD11:FI11"/>
    <mergeCell ref="DO2:EJ2"/>
    <mergeCell ref="EV2:FB2"/>
    <mergeCell ref="EK3:EU3"/>
    <mergeCell ref="EV3:EV4"/>
    <mergeCell ref="EX3:EX4"/>
    <mergeCell ref="EZ3:EZ4"/>
    <mergeCell ref="FD9:FI9"/>
    <mergeCell ref="FE5:FI5"/>
    <mergeCell ref="FE6:FI6"/>
    <mergeCell ref="FA3:FA4"/>
    <mergeCell ref="EW3:EW4"/>
    <mergeCell ref="EY3:EY4"/>
    <mergeCell ref="FD12:FH12"/>
    <mergeCell ref="A1:B1"/>
    <mergeCell ref="FE29:FH29"/>
    <mergeCell ref="FE30:FH30"/>
    <mergeCell ref="FE20:FH20"/>
    <mergeCell ref="FE21:FH21"/>
    <mergeCell ref="FE22:FH22"/>
    <mergeCell ref="FE23:FH23"/>
    <mergeCell ref="FE24:FH24"/>
    <mergeCell ref="FD16:FH16"/>
    <mergeCell ref="FE17:FI17"/>
    <mergeCell ref="FE18:FH18"/>
    <mergeCell ref="FE19:FH19"/>
    <mergeCell ref="FD13:FH13"/>
    <mergeCell ref="FD14:FH14"/>
    <mergeCell ref="FD15:FH15"/>
  </mergeCells>
  <phoneticPr fontId="13" type="noConversion"/>
  <conditionalFormatting sqref="AU5:BA27">
    <cfRule type="cellIs" dxfId="162" priority="1" operator="equal">
      <formula>3</formula>
    </cfRule>
    <cfRule type="cellIs" dxfId="161" priority="2" operator="equal">
      <formula>1</formula>
    </cfRule>
    <cfRule type="cellIs" dxfId="160" priority="3" operator="equal">
      <formula>2</formula>
    </cfRule>
    <cfRule type="cellIs" dxfId="159" priority="4" operator="equal">
      <formula>3</formula>
    </cfRule>
    <cfRule type="cellIs" dxfId="158" priority="5" operator="greaterThan">
      <formula>3.9</formula>
    </cfRule>
  </conditionalFormatting>
  <conditionalFormatting sqref="AU29:BA34">
    <cfRule type="cellIs" dxfId="157" priority="18" operator="equal">
      <formula>3</formula>
    </cfRule>
    <cfRule type="cellIs" dxfId="156" priority="19" operator="equal">
      <formula>1</formula>
    </cfRule>
    <cfRule type="cellIs" dxfId="155" priority="20" operator="equal">
      <formula>2</formula>
    </cfRule>
    <cfRule type="cellIs" dxfId="154" priority="21" operator="equal">
      <formula>3</formula>
    </cfRule>
    <cfRule type="cellIs" dxfId="153" priority="22" operator="greaterThan">
      <formula>3.9</formula>
    </cfRule>
  </conditionalFormatting>
  <conditionalFormatting sqref="BE1:BE27 BE29:BE49 BE51:BE1048576">
    <cfRule type="cellIs" dxfId="152" priority="14" operator="equal">
      <formula>1</formula>
    </cfRule>
    <cfRule type="cellIs" dxfId="151" priority="15" operator="equal">
      <formula>2</formula>
    </cfRule>
    <cfRule type="cellIs" dxfId="150" priority="16" operator="equal">
      <formula>3</formula>
    </cfRule>
  </conditionalFormatting>
  <conditionalFormatting sqref="BE5:BE27 BE29:BE34">
    <cfRule type="cellIs" dxfId="149" priority="17" operator="greaterThan">
      <formula>3.5</formula>
    </cfRule>
  </conditionalFormatting>
  <conditionalFormatting sqref="BG5:BG6 BG10 BG12:BG23">
    <cfRule type="cellIs" dxfId="148" priority="10" operator="lessThan">
      <formula>0.21</formula>
    </cfRule>
    <cfRule type="cellIs" dxfId="147" priority="11" operator="between">
      <formula>0.21</formula>
      <formula>0.4</formula>
    </cfRule>
    <cfRule type="cellIs" dxfId="146" priority="12" operator="between">
      <formula>0.4</formula>
      <formula>0.6</formula>
    </cfRule>
    <cfRule type="cellIs" dxfId="145" priority="13" operator="lessThan">
      <formula>0.5</formula>
    </cfRule>
  </conditionalFormatting>
  <conditionalFormatting sqref="BG5:BG6 BG10:BG27 BG29:BG34">
    <cfRule type="cellIs" dxfId="144" priority="6" operator="lessThan">
      <formula>0.3</formula>
    </cfRule>
    <cfRule type="cellIs" dxfId="143" priority="7" operator="between">
      <formula>0.3</formula>
      <formula>0.5</formula>
    </cfRule>
    <cfRule type="cellIs" dxfId="142" priority="8" operator="between">
      <formula>0.5</formula>
      <formula>0.6</formula>
    </cfRule>
    <cfRule type="cellIs" dxfId="141" priority="9" operator="greaterThan">
      <formula>0.6</formula>
    </cfRule>
  </conditionalFormatting>
  <dataValidations count="8">
    <dataValidation type="list" allowBlank="1" showInputMessage="1" showErrorMessage="1" sqref="P17:P24" xr:uid="{33AD2D29-044B-43D2-AD5B-39B8091C7EC7}">
      <formula1>$J$72:$J$77</formula1>
    </dataValidation>
    <dataValidation type="list" allowBlank="1" showInputMessage="1" showErrorMessage="1" sqref="N27 N5:N10 N13:N15" xr:uid="{744284E7-97F1-4765-A173-5D468C249F43}">
      <formula1>$J$52:$J$58</formula1>
    </dataValidation>
    <dataValidation type="list" allowBlank="1" showInputMessage="1" showErrorMessage="1" sqref="R25:R26 R11 R29:R34" xr:uid="{531EC0E3-E785-4B43-88D5-985A003C6C2A}">
      <formula1>$J$92:$J$95</formula1>
    </dataValidation>
    <dataValidation type="list" allowBlank="1" showInputMessage="1" showErrorMessage="1" sqref="K25:K26" xr:uid="{DAE13FE6-5819-43F7-94C7-A2682AF9802F}">
      <formula1>$J$19:$J$26</formula1>
    </dataValidation>
    <dataValidation type="list" allowBlank="1" showInputMessage="1" showErrorMessage="1" sqref="Y4:AC4" xr:uid="{FABAC174-5A16-42BE-9087-E5BC3369589A}">
      <formula1>$I$4:$I$16</formula1>
    </dataValidation>
    <dataValidation type="list" allowBlank="1" showInputMessage="1" showErrorMessage="1" sqref="F19 F25:F26" xr:uid="{384110BF-9097-42F4-BE55-CA6CE8C9CF19}">
      <formula1>$H$4:$H$21</formula1>
    </dataValidation>
    <dataValidation type="list" allowBlank="1" showInputMessage="1" showErrorMessage="1" sqref="D13:D18 D11 D20:D27 D29:D34" xr:uid="{36F3E731-80CE-4AFA-9711-29E7229B0791}">
      <formula1>$D$4:$D$19</formula1>
    </dataValidation>
    <dataValidation type="list" allowBlank="1" showInputMessage="1" showErrorMessage="1" sqref="C15" xr:uid="{7E6FCFB9-4B1C-4EEB-A9D6-5A9C64437540}">
      <formula1>$B$4:$B$53</formula1>
    </dataValidation>
  </dataValidations>
  <pageMargins left="0.7" right="0.7" top="0.75" bottom="0.75" header="0.3" footer="0.3"/>
  <pageSetup orientation="portrait" horizontalDpi="4294967293" verticalDpi="0" r:id="rId1"/>
  <headerFooter>
    <oddFooter>&amp;C_x000D_&amp;1#&amp;"Calibri"&amp;8&amp;K000000 INTERNAL. This information is accessible to ADB Management and staff. It may be shared outside ADB with appropriate permission.</oddFooter>
  </headerFooter>
  <extLst>
    <ext xmlns:x14="http://schemas.microsoft.com/office/spreadsheetml/2009/9/main" uri="{CCE6A557-97BC-4b89-ADB6-D9C93CAAB3DF}">
      <x14:dataValidations xmlns:xm="http://schemas.microsoft.com/office/excel/2006/main" count="17">
        <x14:dataValidation type="list" allowBlank="1" showInputMessage="1" showErrorMessage="1" xr:uid="{AAE84E1E-30D5-4878-975E-F722F88E659F}">
          <x14:formula1>
            <xm:f>'Condition rating weights'!$C$29:$C$34</xm:f>
          </x14:formula1>
          <xm:sqref>AW25:BE25 AW23:AW24 AX23:BE23 AX24:AZ24 BF23:BF25 AW13:BF22 AU13:AV27 AU5:BF11 AW26:BF27 AU29:BF34</xm:sqref>
        </x14:dataValidation>
        <x14:dataValidation type="list" allowBlank="1" showInputMessage="1" showErrorMessage="1" xr:uid="{5D81F1E6-0124-460B-845C-52FE74C10B20}">
          <x14:formula1>
            <xm:f>'Inflation Adjustments'!$B$3:$BT$3</xm:f>
          </x14:formula1>
          <xm:sqref>AG19 AG25:AG26 AG5:AG9 AG11 AG29:AG34</xm:sqref>
        </x14:dataValidation>
        <x14:dataValidation type="list" allowBlank="1" showInputMessage="1" showErrorMessage="1" xr:uid="{41FA14FA-9234-49DD-BC42-012881338664}">
          <x14:formula1>
            <xm:f>'AR-Hierarchy '!$H$4:$H$20</xm:f>
          </x14:formula1>
          <xm:sqref>F13:F16 F27 F5:F11 F29:F34</xm:sqref>
        </x14:dataValidation>
        <x14:dataValidation type="list" allowBlank="1" showInputMessage="1" showErrorMessage="1" xr:uid="{705937E6-4429-40D1-8121-EF8B9F26E235}">
          <x14:formula1>
            <xm:f>'AR-Hierarchy '!$I$4:$I$14</xm:f>
          </x14:formula1>
          <xm:sqref>J4:S4</xm:sqref>
        </x14:dataValidation>
        <x14:dataValidation type="list" allowBlank="1" showInputMessage="1" showErrorMessage="1" xr:uid="{99727F4E-29B1-426A-8074-568F96ECB264}">
          <x14:formula1>
            <xm:f>'AR-Hierarchy '!$J$14:$J$21</xm:f>
          </x14:formula1>
          <xm:sqref>K13:K24 K27 K5:K11 K29:K34</xm:sqref>
        </x14:dataValidation>
        <x14:dataValidation type="list" allowBlank="1" showInputMessage="1" showErrorMessage="1" xr:uid="{A63FDE28-0491-499A-9FC3-F82461F745CF}">
          <x14:formula1>
            <xm:f>'AR-Hierarchy '!$J$45:$J$51</xm:f>
          </x14:formula1>
          <xm:sqref>N17:N26 N11 N29:N34</xm:sqref>
        </x14:dataValidation>
        <x14:dataValidation type="list" allowBlank="1" showInputMessage="1" showErrorMessage="1" xr:uid="{598465E7-B2D2-4A4C-8472-5589B93E3E17}">
          <x14:formula1>
            <xm:f>'AR-Hierarchy '!$J$63:$J$68</xm:f>
          </x14:formula1>
          <xm:sqref>P13:P14 P5:P11 P25:P27 P29:P34</xm:sqref>
        </x14:dataValidation>
        <x14:dataValidation type="list" allowBlank="1" showInputMessage="1" showErrorMessage="1" xr:uid="{21F06BD3-BF4E-47B4-9642-C769E8770F9B}">
          <x14:formula1>
            <xm:f>'AR-Hierarchy '!$J$80:$J$83</xm:f>
          </x14:formula1>
          <xm:sqref>R27 R5:R10 R13:R24</xm:sqref>
        </x14:dataValidation>
        <x14:dataValidation type="list" allowBlank="1" showInputMessage="1" showErrorMessage="1" xr:uid="{E51D9A37-1E0F-461A-8493-0212924B45D0}">
          <x14:formula1>
            <xm:f>'AR-Hierarchy '!#REF!</xm:f>
          </x14:formula1>
          <xm:sqref>E13 E5:E11 E25:E27 E29:E34 D5:D10</xm:sqref>
        </x14:dataValidation>
        <x14:dataValidation type="list" allowBlank="1" showInputMessage="1" showErrorMessage="1" xr:uid="{7FDA356B-4DB4-454F-A1DA-F12BA71886CA}">
          <x14:formula1>
            <xm:f>'AR-Hierarchy '!$B$4:$B$53</xm:f>
          </x14:formula1>
          <xm:sqref>C13 C5:C11 C25:C27 C29:C34</xm:sqref>
        </x14:dataValidation>
        <x14:dataValidation type="list" allowBlank="1" showInputMessage="1" showErrorMessage="1" xr:uid="{895471F2-8A81-4A99-A3E2-621BBDE97391}">
          <x14:formula1>
            <xm:f>'AR-Hierarchy '!$K$4:$K$17</xm:f>
          </x14:formula1>
          <xm:sqref>T5:AC11 T13:AC27 T29:AC34</xm:sqref>
        </x14:dataValidation>
        <x14:dataValidation type="list" allowBlank="1" showInputMessage="1" showErrorMessage="1" xr:uid="{8F4A1AF1-418B-4BB5-9EDF-8D95088744D1}">
          <x14:formula1>
            <xm:f>'AR-Hierarchy '!$J$5:$J$12</xm:f>
          </x14:formula1>
          <xm:sqref>J5:J11 J13:J27 J29:J34</xm:sqref>
        </x14:dataValidation>
        <x14:dataValidation type="list" allowBlank="1" showInputMessage="1" showErrorMessage="1" xr:uid="{B0764E21-8AF7-4526-89B7-F67710809F41}">
          <x14:formula1>
            <xm:f>'AR-Hierarchy '!$J$24:$J$32</xm:f>
          </x14:formula1>
          <xm:sqref>L5:L11 L13:L27 L29:L34</xm:sqref>
        </x14:dataValidation>
        <x14:dataValidation type="list" allowBlank="1" showInputMessage="1" showErrorMessage="1" xr:uid="{67B0DD23-B35A-46C4-8B92-E2CD6E3B7C50}">
          <x14:formula1>
            <xm:f>'AR-Hierarchy '!$J$35:$J$41</xm:f>
          </x14:formula1>
          <xm:sqref>M5:M11 M13:M27 M29:M34</xm:sqref>
        </x14:dataValidation>
        <x14:dataValidation type="list" allowBlank="1" showInputMessage="1" showErrorMessage="1" xr:uid="{2477B001-23FD-4044-9D3F-A3D31802F9D5}">
          <x14:formula1>
            <xm:f>'AR-Hierarchy '!$J$54:$J$60</xm:f>
          </x14:formula1>
          <xm:sqref>O5:O11 O13:O27 O29:O34</xm:sqref>
        </x14:dataValidation>
        <x14:dataValidation type="list" allowBlank="1" showInputMessage="1" showErrorMessage="1" xr:uid="{9DAE98E9-6465-47F8-84F7-3CDCE89A58C6}">
          <x14:formula1>
            <xm:f>'AR-Hierarchy '!$J$72:$J$77</xm:f>
          </x14:formula1>
          <xm:sqref>Q5:Q11 Q13:Q27 Q29:Q34</xm:sqref>
        </x14:dataValidation>
        <x14:dataValidation type="list" allowBlank="1" showInputMessage="1" showErrorMessage="1" xr:uid="{B93AF62D-B1FE-4C9E-B929-FE728157A124}">
          <x14:formula1>
            <xm:f>'AR-Hierarchy '!$J$86:$J$90</xm:f>
          </x14:formula1>
          <xm:sqref>S5:S11 S13:S27 S29:S34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2DFE0-2064-44B0-AD36-3496D67A4659}">
  <dimension ref="A1:FI50"/>
  <sheetViews>
    <sheetView topLeftCell="AL33" workbookViewId="0">
      <selection activeCell="AN50" sqref="AN50:AT50"/>
    </sheetView>
  </sheetViews>
  <sheetFormatPr defaultColWidth="8.81640625" defaultRowHeight="14" x14ac:dyDescent="0.3"/>
  <cols>
    <col min="1" max="71" width="35.6328125" style="91" customWidth="1"/>
    <col min="72" max="73" width="35.6328125" style="290" customWidth="1"/>
    <col min="74" max="76" width="8.81640625" style="91"/>
    <col min="77" max="77" width="16.08984375" style="91" customWidth="1"/>
    <col min="78" max="85" width="8.81640625" style="91"/>
    <col min="86" max="86" width="12.08984375" style="91" customWidth="1"/>
    <col min="87" max="87" width="10.90625" style="91" customWidth="1"/>
    <col min="88" max="88" width="11.81640625" style="91" customWidth="1"/>
    <col min="89" max="89" width="11" style="91" customWidth="1"/>
    <col min="90" max="90" width="11.453125" style="91" customWidth="1"/>
    <col min="91" max="91" width="12.54296875" style="91" customWidth="1"/>
    <col min="92" max="92" width="11.08984375" style="91" customWidth="1"/>
    <col min="93" max="93" width="8.81640625" style="91"/>
    <col min="94" max="94" width="10.453125" style="91" customWidth="1"/>
    <col min="95" max="95" width="11.08984375" style="91" customWidth="1"/>
    <col min="96" max="101" width="12.1796875" style="91" customWidth="1"/>
    <col min="102" max="102" width="11.90625" style="91" customWidth="1"/>
    <col min="103" max="103" width="10.6328125" style="91" customWidth="1"/>
    <col min="104" max="104" width="8.81640625" style="91"/>
    <col min="105" max="105" width="10.81640625" style="91" customWidth="1"/>
    <col min="106" max="106" width="8.81640625" style="91"/>
    <col min="107" max="107" width="12" style="91" customWidth="1"/>
    <col min="108" max="108" width="16.36328125" style="91" customWidth="1"/>
    <col min="109" max="109" width="11.1796875" style="91" customWidth="1"/>
    <col min="110" max="113" width="10.6328125" style="91" customWidth="1"/>
    <col min="114" max="114" width="10" style="91" customWidth="1"/>
    <col min="115" max="115" width="10.90625" style="91" customWidth="1"/>
    <col min="116" max="116" width="9.08984375" style="91" customWidth="1"/>
    <col min="117" max="117" width="10.81640625" style="91" customWidth="1"/>
    <col min="118" max="118" width="8.81640625" style="91"/>
    <col min="119" max="119" width="11.36328125" style="91" customWidth="1"/>
    <col min="120" max="123" width="10.81640625" style="91" customWidth="1"/>
    <col min="124" max="124" width="8.81640625" style="91" customWidth="1"/>
    <col min="125" max="125" width="9.08984375" style="91" customWidth="1"/>
    <col min="126" max="129" width="8.81640625" style="91" customWidth="1"/>
    <col min="130" max="130" width="11.36328125" style="91" customWidth="1"/>
    <col min="131" max="135" width="10.08984375" style="91" customWidth="1"/>
    <col min="136" max="139" width="8.81640625" style="91"/>
    <col min="140" max="151" width="11.08984375" style="91" customWidth="1"/>
    <col min="152" max="155" width="11.54296875" style="91" customWidth="1"/>
    <col min="156" max="156" width="11.81640625" style="91" customWidth="1"/>
    <col min="157" max="158" width="12.1796875" style="91" customWidth="1"/>
    <col min="159" max="159" width="8.81640625" style="91"/>
    <col min="160" max="160" width="13.1796875" style="91" customWidth="1"/>
    <col min="161" max="161" width="11.1796875" style="91" customWidth="1"/>
    <col min="162" max="163" width="8.81640625" style="91"/>
    <col min="164" max="164" width="32.453125" style="91" customWidth="1"/>
    <col min="165" max="16384" width="8.81640625" style="91"/>
  </cols>
  <sheetData>
    <row r="1" spans="1:165" ht="29.5" customHeight="1" thickTop="1" x14ac:dyDescent="0.3">
      <c r="A1" s="653" t="s">
        <v>32</v>
      </c>
      <c r="B1" s="654"/>
      <c r="C1" s="288">
        <v>2023</v>
      </c>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row>
    <row r="2" spans="1:165" ht="42" customHeight="1" thickBot="1" x14ac:dyDescent="0.35">
      <c r="A2" s="584" t="s">
        <v>1419</v>
      </c>
      <c r="B2" s="585"/>
      <c r="C2" s="585"/>
      <c r="D2" s="585"/>
      <c r="E2" s="585"/>
      <c r="F2" s="585"/>
      <c r="G2" s="585"/>
      <c r="H2" s="585"/>
      <c r="I2" s="585"/>
      <c r="J2" s="624" t="s">
        <v>298</v>
      </c>
      <c r="K2" s="585"/>
      <c r="L2" s="585"/>
      <c r="M2" s="585"/>
      <c r="N2" s="585"/>
      <c r="O2" s="585"/>
      <c r="P2" s="585"/>
      <c r="Q2" s="585"/>
      <c r="R2" s="585"/>
      <c r="S2" s="585"/>
      <c r="T2" s="585"/>
      <c r="U2" s="585"/>
      <c r="V2" s="585"/>
      <c r="W2" s="585"/>
      <c r="X2" s="585"/>
      <c r="Y2" s="585"/>
      <c r="Z2" s="585"/>
      <c r="AA2" s="585"/>
      <c r="AB2" s="585"/>
      <c r="AC2" s="585"/>
      <c r="AD2" s="585"/>
      <c r="AE2" s="586"/>
      <c r="AF2" s="592" t="s">
        <v>267</v>
      </c>
      <c r="AG2" s="593"/>
      <c r="AH2" s="593"/>
      <c r="AI2" s="593"/>
      <c r="AJ2" s="593"/>
      <c r="AK2" s="593"/>
      <c r="AL2" s="593"/>
      <c r="AM2" s="593"/>
      <c r="AN2" s="593"/>
      <c r="AO2" s="593"/>
      <c r="AP2" s="593"/>
      <c r="AQ2" s="593"/>
      <c r="AR2" s="594"/>
      <c r="AS2" s="592" t="s">
        <v>268</v>
      </c>
      <c r="AT2" s="593"/>
      <c r="AU2" s="593"/>
      <c r="AV2" s="593"/>
      <c r="AW2" s="593"/>
      <c r="AX2" s="593"/>
      <c r="AY2" s="593"/>
      <c r="AZ2" s="593"/>
      <c r="BA2" s="593"/>
      <c r="BB2" s="593"/>
      <c r="BC2" s="593"/>
      <c r="BD2" s="593"/>
      <c r="BE2" s="593"/>
      <c r="BF2" s="593"/>
      <c r="BG2" s="593"/>
      <c r="BH2" s="597" t="s">
        <v>312</v>
      </c>
      <c r="BI2" s="598"/>
      <c r="BJ2" s="598"/>
      <c r="BK2" s="598"/>
      <c r="BL2" s="598"/>
      <c r="BM2" s="598"/>
      <c r="BN2" s="598"/>
      <c r="BO2" s="598"/>
      <c r="BP2" s="598"/>
      <c r="BQ2" s="598"/>
      <c r="BR2" s="598"/>
      <c r="BS2" s="598"/>
      <c r="BT2" s="599"/>
      <c r="BU2" s="390"/>
      <c r="DO2" s="589" t="s">
        <v>828</v>
      </c>
      <c r="DP2" s="589"/>
      <c r="DQ2" s="589"/>
      <c r="DR2" s="589"/>
      <c r="DS2" s="589"/>
      <c r="DT2" s="589"/>
      <c r="DU2" s="589"/>
      <c r="DV2" s="589"/>
      <c r="DW2" s="589"/>
      <c r="DX2" s="589"/>
      <c r="DY2" s="589"/>
      <c r="DZ2" s="589"/>
      <c r="EA2" s="589"/>
      <c r="EB2" s="589"/>
      <c r="EC2" s="589"/>
      <c r="ED2" s="589"/>
      <c r="EE2" s="589"/>
      <c r="EF2" s="589"/>
      <c r="EG2" s="589"/>
      <c r="EH2" s="589"/>
      <c r="EI2" s="589"/>
      <c r="EJ2" s="589"/>
      <c r="EK2" s="93"/>
      <c r="EL2" s="93"/>
      <c r="EM2" s="93"/>
      <c r="EN2" s="93"/>
      <c r="EO2" s="93"/>
      <c r="EP2" s="93"/>
      <c r="EQ2" s="93"/>
      <c r="ER2" s="93"/>
      <c r="ES2" s="93"/>
      <c r="ET2" s="93"/>
      <c r="EU2" s="93"/>
      <c r="EV2" s="590" t="s">
        <v>829</v>
      </c>
      <c r="EW2" s="590"/>
      <c r="EX2" s="590"/>
      <c r="EY2" s="590"/>
      <c r="EZ2" s="590"/>
      <c r="FA2" s="590"/>
      <c r="FB2" s="590"/>
    </row>
    <row r="3" spans="1:165" ht="42" customHeight="1" thickTop="1" x14ac:dyDescent="0.3">
      <c r="A3" s="293" t="s">
        <v>0</v>
      </c>
      <c r="B3" s="294" t="s">
        <v>34</v>
      </c>
      <c r="C3" s="294" t="s">
        <v>250</v>
      </c>
      <c r="D3" s="294" t="s">
        <v>251</v>
      </c>
      <c r="E3" s="294" t="s">
        <v>1</v>
      </c>
      <c r="F3" s="294" t="s">
        <v>2</v>
      </c>
      <c r="G3" s="294" t="s">
        <v>252</v>
      </c>
      <c r="H3" s="294" t="s">
        <v>30</v>
      </c>
      <c r="I3" s="294" t="s">
        <v>31</v>
      </c>
      <c r="J3" s="616" t="s">
        <v>253</v>
      </c>
      <c r="K3" s="625"/>
      <c r="L3" s="625"/>
      <c r="M3" s="625"/>
      <c r="N3" s="625"/>
      <c r="O3" s="625"/>
      <c r="P3" s="625"/>
      <c r="Q3" s="625"/>
      <c r="R3" s="625"/>
      <c r="S3" s="626"/>
      <c r="T3" s="616" t="s">
        <v>254</v>
      </c>
      <c r="U3" s="625"/>
      <c r="V3" s="625"/>
      <c r="W3" s="625"/>
      <c r="X3" s="625"/>
      <c r="Y3" s="625"/>
      <c r="Z3" s="625"/>
      <c r="AA3" s="625"/>
      <c r="AB3" s="625"/>
      <c r="AC3" s="626"/>
      <c r="AD3" s="391" t="s">
        <v>255</v>
      </c>
      <c r="AE3" s="392"/>
      <c r="AF3" s="294" t="s">
        <v>259</v>
      </c>
      <c r="AG3" s="393" t="s">
        <v>38</v>
      </c>
      <c r="AH3" s="394"/>
      <c r="AI3" s="393" t="s">
        <v>261</v>
      </c>
      <c r="AJ3" s="395"/>
      <c r="AK3" s="296"/>
      <c r="AL3" s="296"/>
      <c r="AM3" s="395" t="s">
        <v>262</v>
      </c>
      <c r="AN3" s="395"/>
      <c r="AO3" s="395" t="s">
        <v>263</v>
      </c>
      <c r="AP3" s="395" t="s">
        <v>326</v>
      </c>
      <c r="AQ3" s="394" t="s">
        <v>33</v>
      </c>
      <c r="AR3" s="396" t="s">
        <v>264</v>
      </c>
      <c r="AS3" s="609" t="s">
        <v>265</v>
      </c>
      <c r="AT3" s="609" t="s">
        <v>266</v>
      </c>
      <c r="AU3" s="603" t="s">
        <v>53</v>
      </c>
      <c r="AV3" s="591"/>
      <c r="AW3" s="591"/>
      <c r="AX3" s="591"/>
      <c r="AY3" s="591"/>
      <c r="AZ3" s="591"/>
      <c r="BA3" s="591"/>
      <c r="BB3" s="591"/>
      <c r="BC3" s="591"/>
      <c r="BD3" s="604"/>
      <c r="BE3" s="609" t="s">
        <v>1580</v>
      </c>
      <c r="BF3" s="609"/>
      <c r="BG3" s="295" t="s">
        <v>1442</v>
      </c>
      <c r="BH3" s="605" t="s">
        <v>299</v>
      </c>
      <c r="BI3" s="605" t="s">
        <v>300</v>
      </c>
      <c r="BJ3" s="605" t="s">
        <v>301</v>
      </c>
      <c r="BK3" s="605" t="s">
        <v>302</v>
      </c>
      <c r="BL3" s="605" t="s">
        <v>303</v>
      </c>
      <c r="BM3" s="605" t="s">
        <v>304</v>
      </c>
      <c r="BN3" s="605" t="s">
        <v>305</v>
      </c>
      <c r="BO3" s="605" t="s">
        <v>306</v>
      </c>
      <c r="BP3" s="605" t="s">
        <v>307</v>
      </c>
      <c r="BQ3" s="605" t="s">
        <v>308</v>
      </c>
      <c r="BR3" s="605" t="s">
        <v>309</v>
      </c>
      <c r="BS3" s="605" t="s">
        <v>310</v>
      </c>
      <c r="BT3" s="616" t="s">
        <v>311</v>
      </c>
      <c r="BU3" s="617" t="s">
        <v>1428</v>
      </c>
      <c r="BY3" s="144"/>
      <c r="BZ3" s="144"/>
      <c r="CA3" s="372" t="s">
        <v>809</v>
      </c>
      <c r="CB3" s="144"/>
      <c r="CC3" s="144"/>
      <c r="CD3" s="144"/>
      <c r="CE3" s="144"/>
      <c r="CF3" s="144"/>
      <c r="CG3" s="144"/>
      <c r="CH3" s="639" t="s">
        <v>816</v>
      </c>
      <c r="CI3" s="639"/>
      <c r="CJ3" s="639"/>
      <c r="CK3" s="639"/>
      <c r="CL3" s="639"/>
      <c r="CM3" s="639"/>
      <c r="CN3" s="639"/>
      <c r="CO3" s="639"/>
      <c r="CP3" s="639"/>
      <c r="CQ3" s="639"/>
      <c r="CR3" s="639"/>
      <c r="CS3" s="646" t="s">
        <v>262</v>
      </c>
      <c r="CT3" s="646"/>
      <c r="CU3" s="646"/>
      <c r="CV3" s="646"/>
      <c r="CW3" s="646"/>
      <c r="CX3" s="646"/>
      <c r="CY3" s="646"/>
      <c r="CZ3" s="646"/>
      <c r="DA3" s="646"/>
      <c r="DB3" s="646"/>
      <c r="DC3" s="646"/>
      <c r="DD3" s="371"/>
      <c r="DE3" s="639" t="s">
        <v>825</v>
      </c>
      <c r="DF3" s="639"/>
      <c r="DG3" s="639"/>
      <c r="DH3" s="639"/>
      <c r="DI3" s="639"/>
      <c r="DJ3" s="639"/>
      <c r="DK3" s="639"/>
      <c r="DL3" s="639"/>
      <c r="DM3" s="639"/>
      <c r="DN3" s="639"/>
      <c r="DO3" s="646" t="s">
        <v>827</v>
      </c>
      <c r="DP3" s="646"/>
      <c r="DQ3" s="646"/>
      <c r="DR3" s="646"/>
      <c r="DS3" s="646"/>
      <c r="DT3" s="646"/>
      <c r="DU3" s="646"/>
      <c r="DV3" s="646"/>
      <c r="DW3" s="646"/>
      <c r="DX3" s="646"/>
      <c r="DY3" s="646"/>
      <c r="DZ3" s="639" t="s">
        <v>826</v>
      </c>
      <c r="EA3" s="639"/>
      <c r="EB3" s="639"/>
      <c r="EC3" s="639"/>
      <c r="ED3" s="639"/>
      <c r="EE3" s="639"/>
      <c r="EF3" s="639"/>
      <c r="EG3" s="639"/>
      <c r="EH3" s="639"/>
      <c r="EI3" s="639"/>
      <c r="EJ3" s="639"/>
      <c r="EK3" s="646" t="s">
        <v>833</v>
      </c>
      <c r="EL3" s="646"/>
      <c r="EM3" s="646"/>
      <c r="EN3" s="646"/>
      <c r="EO3" s="646"/>
      <c r="EP3" s="646"/>
      <c r="EQ3" s="646"/>
      <c r="ER3" s="646"/>
      <c r="ES3" s="646"/>
      <c r="ET3" s="646"/>
      <c r="EU3" s="646"/>
      <c r="EV3" s="645" t="s">
        <v>1026</v>
      </c>
      <c r="EW3" s="645" t="s">
        <v>1022</v>
      </c>
      <c r="EX3" s="645" t="s">
        <v>1023</v>
      </c>
      <c r="EY3" s="645" t="s">
        <v>1027</v>
      </c>
      <c r="EZ3" s="645" t="s">
        <v>1024</v>
      </c>
      <c r="FA3" s="645" t="s">
        <v>1025</v>
      </c>
      <c r="FB3" s="645" t="s">
        <v>33</v>
      </c>
    </row>
    <row r="4" spans="1:165" ht="32" customHeight="1" x14ac:dyDescent="0.3">
      <c r="A4" s="397"/>
      <c r="B4" s="398"/>
      <c r="C4" s="399"/>
      <c r="D4" s="399"/>
      <c r="E4" s="399"/>
      <c r="F4" s="399"/>
      <c r="G4" s="399"/>
      <c r="H4" s="399"/>
      <c r="I4" s="399"/>
      <c r="J4" s="399" t="s">
        <v>105</v>
      </c>
      <c r="K4" s="399" t="s">
        <v>106</v>
      </c>
      <c r="L4" s="399" t="s">
        <v>107</v>
      </c>
      <c r="M4" s="399" t="s">
        <v>108</v>
      </c>
      <c r="N4" s="399" t="s">
        <v>109</v>
      </c>
      <c r="O4" s="399" t="s">
        <v>120</v>
      </c>
      <c r="P4" s="399" t="s">
        <v>111</v>
      </c>
      <c r="Q4" s="399" t="s">
        <v>112</v>
      </c>
      <c r="R4" s="399" t="s">
        <v>113</v>
      </c>
      <c r="S4" s="399" t="s">
        <v>110</v>
      </c>
      <c r="T4" s="399" t="s">
        <v>935</v>
      </c>
      <c r="U4" s="399" t="s">
        <v>936</v>
      </c>
      <c r="V4" s="399" t="s">
        <v>937</v>
      </c>
      <c r="W4" s="399" t="s">
        <v>938</v>
      </c>
      <c r="X4" s="399" t="s">
        <v>939</v>
      </c>
      <c r="Y4" s="399" t="s">
        <v>120</v>
      </c>
      <c r="Z4" s="399" t="s">
        <v>111</v>
      </c>
      <c r="AA4" s="399" t="s">
        <v>112</v>
      </c>
      <c r="AB4" s="399" t="s">
        <v>113</v>
      </c>
      <c r="AC4" s="399" t="s">
        <v>110</v>
      </c>
      <c r="AD4" s="399" t="s">
        <v>256</v>
      </c>
      <c r="AE4" s="399" t="s">
        <v>257</v>
      </c>
      <c r="AF4" s="399"/>
      <c r="AG4" s="399" t="s">
        <v>38</v>
      </c>
      <c r="AH4" s="399" t="s">
        <v>260</v>
      </c>
      <c r="AI4" s="399" t="s">
        <v>261</v>
      </c>
      <c r="AJ4" s="399" t="s">
        <v>260</v>
      </c>
      <c r="AK4" s="399" t="s">
        <v>715</v>
      </c>
      <c r="AL4" s="399" t="s">
        <v>716</v>
      </c>
      <c r="AM4" s="399" t="s">
        <v>262</v>
      </c>
      <c r="AN4" s="399" t="s">
        <v>260</v>
      </c>
      <c r="AO4" s="400"/>
      <c r="AP4" s="400"/>
      <c r="AQ4" s="401"/>
      <c r="AR4" s="402"/>
      <c r="AS4" s="651"/>
      <c r="AT4" s="651"/>
      <c r="AU4" s="399" t="s">
        <v>164</v>
      </c>
      <c r="AV4" s="399" t="s">
        <v>36</v>
      </c>
      <c r="AW4" s="399" t="s">
        <v>5</v>
      </c>
      <c r="AX4" s="399" t="s">
        <v>3</v>
      </c>
      <c r="AY4" s="399" t="s">
        <v>165</v>
      </c>
      <c r="AZ4" s="399" t="s">
        <v>166</v>
      </c>
      <c r="BA4" s="399" t="s">
        <v>1578</v>
      </c>
      <c r="BB4" s="399"/>
      <c r="BC4" s="399"/>
      <c r="BD4" s="399"/>
      <c r="BE4" s="651"/>
      <c r="BF4" s="651"/>
      <c r="BG4" s="403" t="s">
        <v>37</v>
      </c>
      <c r="BH4" s="650"/>
      <c r="BI4" s="650"/>
      <c r="BJ4" s="650"/>
      <c r="BK4" s="650"/>
      <c r="BL4" s="650"/>
      <c r="BM4" s="650"/>
      <c r="BN4" s="650"/>
      <c r="BO4" s="650"/>
      <c r="BP4" s="650"/>
      <c r="BQ4" s="650"/>
      <c r="BR4" s="650"/>
      <c r="BS4" s="650"/>
      <c r="BT4" s="652"/>
      <c r="BU4" s="627"/>
      <c r="BY4" s="373"/>
      <c r="BZ4" s="376" t="str">
        <f>'AR-Hierarchy '!K4</f>
        <v>Basic Design</v>
      </c>
      <c r="CA4" s="376" t="str">
        <f>'AR-Hierarchy '!K5</f>
        <v>Standard Design</v>
      </c>
      <c r="CB4" s="376" t="str">
        <f>'AR-Hierarchy '!K6</f>
        <v xml:space="preserve">Superior Design </v>
      </c>
      <c r="CC4" s="376" t="str">
        <f>'AR-Hierarchy '!K7</f>
        <v>None</v>
      </c>
      <c r="CD4" s="376" t="str">
        <f>BZ4</f>
        <v>Basic Design</v>
      </c>
      <c r="CE4" s="376" t="str">
        <f>CA4</f>
        <v>Standard Design</v>
      </c>
      <c r="CF4" s="376" t="str">
        <f>CB4</f>
        <v xml:space="preserve">Superior Design </v>
      </c>
      <c r="CG4" s="373" t="s">
        <v>117</v>
      </c>
      <c r="CH4" s="374" t="str">
        <f>BY5</f>
        <v>Substructure</v>
      </c>
      <c r="CI4" s="371" t="str">
        <f>BY6</f>
        <v>Structure</v>
      </c>
      <c r="CJ4" s="371" t="str">
        <f>BY7</f>
        <v>Roofing</v>
      </c>
      <c r="CK4" s="374" t="str">
        <f>BY8</f>
        <v>Exterior Wall Cladding</v>
      </c>
      <c r="CL4" s="371" t="str">
        <f>BY9</f>
        <v>Fitouts</v>
      </c>
      <c r="CM4" s="371" t="str">
        <f>BY10</f>
        <v>Floor Covering</v>
      </c>
      <c r="CN4" s="374" t="str">
        <f>BY11</f>
        <v>Service Mechanical</v>
      </c>
      <c r="CO4" s="374" t="str">
        <f>BY12</f>
        <v>Services Electrical</v>
      </c>
      <c r="CP4" s="374" t="str">
        <f>BY13</f>
        <v>Services Sanitation</v>
      </c>
      <c r="CQ4" s="374" t="str">
        <f>BY14</f>
        <v>Services Water</v>
      </c>
      <c r="CR4" s="374" t="s">
        <v>823</v>
      </c>
      <c r="CS4" s="376" t="str">
        <f>CH4</f>
        <v>Substructure</v>
      </c>
      <c r="CT4" s="376" t="str">
        <f t="shared" ref="CT4:DB4" si="0">CI4</f>
        <v>Structure</v>
      </c>
      <c r="CU4" s="376" t="str">
        <f t="shared" si="0"/>
        <v>Roofing</v>
      </c>
      <c r="CV4" s="376" t="str">
        <f t="shared" si="0"/>
        <v>Exterior Wall Cladding</v>
      </c>
      <c r="CW4" s="376" t="str">
        <f t="shared" si="0"/>
        <v>Fitouts</v>
      </c>
      <c r="CX4" s="376" t="str">
        <f t="shared" si="0"/>
        <v>Floor Covering</v>
      </c>
      <c r="CY4" s="376" t="str">
        <f t="shared" si="0"/>
        <v>Service Mechanical</v>
      </c>
      <c r="CZ4" s="376" t="str">
        <f t="shared" si="0"/>
        <v>Services Electrical</v>
      </c>
      <c r="DA4" s="376" t="str">
        <f t="shared" si="0"/>
        <v>Services Sanitation</v>
      </c>
      <c r="DB4" s="376" t="str">
        <f t="shared" si="0"/>
        <v>Services Water</v>
      </c>
      <c r="DC4" s="376" t="s">
        <v>824</v>
      </c>
      <c r="DD4" s="374" t="s">
        <v>1028</v>
      </c>
      <c r="DE4" s="374" t="str">
        <f>CS4</f>
        <v>Substructure</v>
      </c>
      <c r="DF4" s="374" t="str">
        <f t="shared" ref="DF4:DN4" si="1">CT4</f>
        <v>Structure</v>
      </c>
      <c r="DG4" s="374" t="str">
        <f t="shared" si="1"/>
        <v>Roofing</v>
      </c>
      <c r="DH4" s="374" t="str">
        <f t="shared" si="1"/>
        <v>Exterior Wall Cladding</v>
      </c>
      <c r="DI4" s="374" t="str">
        <f t="shared" si="1"/>
        <v>Fitouts</v>
      </c>
      <c r="DJ4" s="374" t="str">
        <f t="shared" si="1"/>
        <v>Floor Covering</v>
      </c>
      <c r="DK4" s="374" t="str">
        <f t="shared" si="1"/>
        <v>Service Mechanical</v>
      </c>
      <c r="DL4" s="374" t="str">
        <f t="shared" si="1"/>
        <v>Services Electrical</v>
      </c>
      <c r="DM4" s="374" t="str">
        <f t="shared" si="1"/>
        <v>Services Sanitation</v>
      </c>
      <c r="DN4" s="374" t="str">
        <f t="shared" si="1"/>
        <v>Services Water</v>
      </c>
      <c r="DO4" s="376" t="str">
        <f>DE4</f>
        <v>Substructure</v>
      </c>
      <c r="DP4" s="376" t="str">
        <f t="shared" ref="DP4:DX4" si="2">DF4</f>
        <v>Structure</v>
      </c>
      <c r="DQ4" s="376" t="str">
        <f t="shared" si="2"/>
        <v>Roofing</v>
      </c>
      <c r="DR4" s="376" t="str">
        <f t="shared" si="2"/>
        <v>Exterior Wall Cladding</v>
      </c>
      <c r="DS4" s="376" t="str">
        <f t="shared" si="2"/>
        <v>Fitouts</v>
      </c>
      <c r="DT4" s="376" t="str">
        <f t="shared" si="2"/>
        <v>Floor Covering</v>
      </c>
      <c r="DU4" s="376" t="str">
        <f t="shared" si="2"/>
        <v>Service Mechanical</v>
      </c>
      <c r="DV4" s="376" t="str">
        <f t="shared" si="2"/>
        <v>Services Electrical</v>
      </c>
      <c r="DW4" s="376" t="str">
        <f t="shared" si="2"/>
        <v>Services Sanitation</v>
      </c>
      <c r="DX4" s="376" t="str">
        <f t="shared" si="2"/>
        <v>Services Water</v>
      </c>
      <c r="DY4" s="376" t="s">
        <v>1021</v>
      </c>
      <c r="DZ4" s="374" t="str">
        <f>DO4</f>
        <v>Substructure</v>
      </c>
      <c r="EA4" s="374" t="str">
        <f t="shared" ref="EA4:EI4" si="3">DP4</f>
        <v>Structure</v>
      </c>
      <c r="EB4" s="374" t="str">
        <f t="shared" si="3"/>
        <v>Roofing</v>
      </c>
      <c r="EC4" s="374" t="str">
        <f t="shared" si="3"/>
        <v>Exterior Wall Cladding</v>
      </c>
      <c r="ED4" s="374" t="str">
        <f t="shared" si="3"/>
        <v>Fitouts</v>
      </c>
      <c r="EE4" s="374" t="str">
        <f t="shared" si="3"/>
        <v>Floor Covering</v>
      </c>
      <c r="EF4" s="374" t="str">
        <f t="shared" si="3"/>
        <v>Service Mechanical</v>
      </c>
      <c r="EG4" s="374" t="str">
        <f t="shared" si="3"/>
        <v>Services Electrical</v>
      </c>
      <c r="EH4" s="374" t="str">
        <f t="shared" si="3"/>
        <v>Services Sanitation</v>
      </c>
      <c r="EI4" s="374" t="str">
        <f t="shared" si="3"/>
        <v>Services Water</v>
      </c>
      <c r="EJ4" s="374" t="s">
        <v>1021</v>
      </c>
      <c r="EK4" s="376" t="str">
        <f>DZ4</f>
        <v>Substructure</v>
      </c>
      <c r="EL4" s="376" t="str">
        <f t="shared" ref="EL4:ET4" si="4">EA4</f>
        <v>Structure</v>
      </c>
      <c r="EM4" s="376" t="str">
        <f t="shared" si="4"/>
        <v>Roofing</v>
      </c>
      <c r="EN4" s="376" t="str">
        <f t="shared" si="4"/>
        <v>Exterior Wall Cladding</v>
      </c>
      <c r="EO4" s="376" t="str">
        <f t="shared" si="4"/>
        <v>Fitouts</v>
      </c>
      <c r="EP4" s="376" t="str">
        <f t="shared" si="4"/>
        <v>Floor Covering</v>
      </c>
      <c r="EQ4" s="376" t="str">
        <f t="shared" si="4"/>
        <v>Service Mechanical</v>
      </c>
      <c r="ER4" s="376" t="str">
        <f t="shared" si="4"/>
        <v>Services Electrical</v>
      </c>
      <c r="ES4" s="376" t="str">
        <f t="shared" si="4"/>
        <v>Services Sanitation</v>
      </c>
      <c r="ET4" s="376" t="str">
        <f t="shared" si="4"/>
        <v>Services Water</v>
      </c>
      <c r="EU4" s="376" t="s">
        <v>52</v>
      </c>
      <c r="EV4" s="645"/>
      <c r="EW4" s="645"/>
      <c r="EX4" s="645"/>
      <c r="EY4" s="645"/>
      <c r="EZ4" s="645"/>
      <c r="FA4" s="645"/>
      <c r="FB4" s="645"/>
    </row>
    <row r="5" spans="1:165" ht="35" customHeight="1" x14ac:dyDescent="0.3">
      <c r="A5" s="318" t="s">
        <v>1825</v>
      </c>
      <c r="B5" s="318" t="s">
        <v>1614</v>
      </c>
      <c r="C5" s="318" t="s">
        <v>1240</v>
      </c>
      <c r="D5" s="318" t="s">
        <v>79</v>
      </c>
      <c r="E5" s="318" t="s">
        <v>8</v>
      </c>
      <c r="F5" s="318" t="s">
        <v>271</v>
      </c>
      <c r="G5" s="318" t="s">
        <v>1620</v>
      </c>
      <c r="H5" s="318" t="s">
        <v>1621</v>
      </c>
      <c r="I5" s="318" t="s">
        <v>1622</v>
      </c>
      <c r="J5" s="318" t="s">
        <v>1045</v>
      </c>
      <c r="K5" s="318" t="s">
        <v>1047</v>
      </c>
      <c r="L5" s="318" t="s">
        <v>1055</v>
      </c>
      <c r="M5" s="318" t="s">
        <v>1063</v>
      </c>
      <c r="N5" s="318" t="s">
        <v>1069</v>
      </c>
      <c r="O5" s="318" t="s">
        <v>1072</v>
      </c>
      <c r="P5" s="318" t="s">
        <v>1077</v>
      </c>
      <c r="Q5" s="318" t="s">
        <v>1080</v>
      </c>
      <c r="R5" s="318" t="s">
        <v>1086</v>
      </c>
      <c r="S5" s="318" t="s">
        <v>1088</v>
      </c>
      <c r="T5" s="318" t="s">
        <v>102</v>
      </c>
      <c r="U5" s="318" t="s">
        <v>102</v>
      </c>
      <c r="V5" s="318" t="s">
        <v>104</v>
      </c>
      <c r="W5" s="318" t="s">
        <v>104</v>
      </c>
      <c r="X5" s="318" t="s">
        <v>104</v>
      </c>
      <c r="Y5" s="318" t="s">
        <v>104</v>
      </c>
      <c r="Z5" s="318" t="s">
        <v>104</v>
      </c>
      <c r="AA5" s="318" t="s">
        <v>104</v>
      </c>
      <c r="AB5" s="318" t="s">
        <v>104</v>
      </c>
      <c r="AC5" s="318" t="s">
        <v>104</v>
      </c>
      <c r="AD5" s="318" t="s">
        <v>1771</v>
      </c>
      <c r="AE5" s="318">
        <v>92</v>
      </c>
      <c r="AF5" s="318">
        <v>60</v>
      </c>
      <c r="AG5" s="318">
        <v>2022</v>
      </c>
      <c r="AH5" s="318" t="s">
        <v>800</v>
      </c>
      <c r="AI5" s="318">
        <f t="shared" ref="AI5:AJ8" si="5">AG5</f>
        <v>2022</v>
      </c>
      <c r="AJ5" s="318" t="str">
        <f t="shared" si="5"/>
        <v>Estimated</v>
      </c>
      <c r="AK5" s="318"/>
      <c r="AL5" s="318"/>
      <c r="AM5" s="317">
        <f>DC5+EW5</f>
        <v>217944.69374999998</v>
      </c>
      <c r="AN5" s="318" t="s">
        <v>800</v>
      </c>
      <c r="AO5" s="511">
        <f>EJ5+FA5</f>
        <v>0</v>
      </c>
      <c r="AP5" s="511">
        <f>AM5-AO5</f>
        <v>217944.69374999998</v>
      </c>
      <c r="AQ5" s="511">
        <f>EU5+FB5</f>
        <v>6468.6781250000004</v>
      </c>
      <c r="AR5" s="511">
        <f>AP5-AQ5</f>
        <v>211476.01562499997</v>
      </c>
      <c r="AS5" s="511">
        <f>HLOOKUP($C$1,'Inflation Adjustments'!$BI$3:$BT$4,2)*CR5</f>
        <v>250636.39781249998</v>
      </c>
      <c r="AT5" s="511">
        <f>IF(BU5="In Service",'Maintenace Cost Assumptions'!$B$3*AS5,0)</f>
        <v>1253.1819890625</v>
      </c>
      <c r="AU5" s="318">
        <v>4</v>
      </c>
      <c r="AV5" s="318">
        <v>4</v>
      </c>
      <c r="AW5" s="318">
        <v>4</v>
      </c>
      <c r="AX5" s="318">
        <v>4</v>
      </c>
      <c r="AY5" s="318">
        <v>4</v>
      </c>
      <c r="AZ5" s="318">
        <v>4</v>
      </c>
      <c r="BA5" s="318">
        <v>4</v>
      </c>
      <c r="BB5" s="318"/>
      <c r="BC5" s="318"/>
      <c r="BD5" s="318"/>
      <c r="BE5" s="318">
        <v>4</v>
      </c>
      <c r="BF5" s="318"/>
      <c r="BG5" s="332">
        <f>(AU5*'Condition rating weights'!H$8+AV5*'Condition rating weights'!I$8+AW5*'Condition rating weights'!J$8+AX5*'Condition rating weights'!K$8+AY5*'Condition rating weights'!L$8+AZ5*'Condition rating weights'!M$8+BA5*'Condition rating weights'!N$8+BB5*'Condition rating weights'!O$8+BC5*'Condition rating weights'!P$8+BD5*'Condition rating weights'!Q$8+BE5*'Condition rating weights'!R$8+BF5*'Condition rating weights'!S$8)/100</f>
        <v>0.8</v>
      </c>
      <c r="BH5" s="333">
        <v>2</v>
      </c>
      <c r="BI5" s="333">
        <v>111</v>
      </c>
      <c r="BJ5" s="333" t="s">
        <v>12</v>
      </c>
      <c r="BK5" s="333" t="s">
        <v>959</v>
      </c>
      <c r="BL5" s="333" t="s">
        <v>960</v>
      </c>
      <c r="BM5" s="333" t="s">
        <v>1030</v>
      </c>
      <c r="BN5" s="333" t="s">
        <v>117</v>
      </c>
      <c r="BO5" s="333" t="s">
        <v>962</v>
      </c>
      <c r="BP5" s="333" t="s">
        <v>962</v>
      </c>
      <c r="BQ5" s="333" t="s">
        <v>963</v>
      </c>
      <c r="BR5" s="333" t="s">
        <v>964</v>
      </c>
      <c r="BS5" s="333" t="s">
        <v>964</v>
      </c>
      <c r="BT5" s="334" t="s">
        <v>965</v>
      </c>
      <c r="BU5" s="335" t="s">
        <v>1430</v>
      </c>
      <c r="BV5" s="346"/>
      <c r="BY5" s="376" t="str">
        <f>'GRC and TUL Assumptions'!A5</f>
        <v>Substructure</v>
      </c>
      <c r="BZ5" s="373">
        <f>'GRC and TUL Assumptions'!C5</f>
        <v>150</v>
      </c>
      <c r="CA5" s="373">
        <f>'GRC and TUL Assumptions'!D5</f>
        <v>200</v>
      </c>
      <c r="CB5" s="373">
        <f>'GRC and TUL Assumptions'!E5</f>
        <v>300</v>
      </c>
      <c r="CC5" s="373">
        <v>0</v>
      </c>
      <c r="CD5" s="373">
        <f>'GRC and TUL Assumptions'!F5</f>
        <v>40</v>
      </c>
      <c r="CE5" s="373">
        <f>'GRC and TUL Assumptions'!G5</f>
        <v>60</v>
      </c>
      <c r="CF5" s="373">
        <f>'GRC and TUL Assumptions'!H5</f>
        <v>60</v>
      </c>
      <c r="CG5" s="373">
        <f>CD5</f>
        <v>40</v>
      </c>
      <c r="CH5" s="378">
        <f t="shared" ref="CH5:CH21" si="6">(HLOOKUP(T5,$BZ$4:$CC$14,2,TRUE))*$AE5</f>
        <v>13800</v>
      </c>
      <c r="CI5" s="378">
        <f t="shared" ref="CI5:CI21" si="7">(HLOOKUP(U5,$BZ$4:$CC$14,3,TRUE))*$AE5</f>
        <v>46000</v>
      </c>
      <c r="CJ5" s="378">
        <f t="shared" ref="CJ5:CJ21" si="8">(HLOOKUP(V5,$BZ$4:$CC$14,4,TRUE))*$AE5/BH5</f>
        <v>6900</v>
      </c>
      <c r="CK5" s="378">
        <f t="shared" ref="CK5:CK21" si="9">(HLOOKUP(W5,$BZ$4:$CC$14,5,TRUE))*$AE5</f>
        <v>21160</v>
      </c>
      <c r="CL5" s="378">
        <f t="shared" ref="CL5:CL21" si="10">(HLOOKUP(X5,$BZ$4:$CC$14,6,TRUE))*$AE5</f>
        <v>32200</v>
      </c>
      <c r="CM5" s="378">
        <f t="shared" ref="CM5:CM21" si="11">(HLOOKUP(Y5,$BZ$4:$CC$14,7,TRUE))*$AE5</f>
        <v>13800</v>
      </c>
      <c r="CN5" s="378">
        <f t="shared" ref="CN5:CN21" si="12">(HLOOKUP(Z5,$BZ$4:$CC$14,8,FALSE))*$AE5</f>
        <v>9200</v>
      </c>
      <c r="CO5" s="378">
        <f t="shared" ref="CO5:CO21" si="13">(HLOOKUP(AA5,$BZ$4:$CC$14,9,FALSE))*$AE5</f>
        <v>9200</v>
      </c>
      <c r="CP5" s="378">
        <f t="shared" ref="CP5:CP21" si="14">(HLOOKUP(AB5,$BZ$4:$CC$14,10,FALSE))*$AE5</f>
        <v>11960</v>
      </c>
      <c r="CQ5" s="378">
        <f t="shared" ref="CQ5:CQ21" si="15">(HLOOKUP(AC5,$BZ$4:$CC$14,11,FALSE))*$AE5</f>
        <v>3680</v>
      </c>
      <c r="CR5" s="354">
        <f t="shared" ref="CR5:CR8" si="16">SUM(CH5:CQ5)</f>
        <v>167900</v>
      </c>
      <c r="CS5" s="379">
        <f>(HLOOKUP($AI5,'Inflation Adjustments'!$B$3:$BT$4,2,TRUE))*CH5</f>
        <v>17913.262499999997</v>
      </c>
      <c r="CT5" s="379">
        <f>(HLOOKUP($AI5,'Inflation Adjustments'!$B$3:$BT$4,2,TRUE))*CI5</f>
        <v>59710.874999999993</v>
      </c>
      <c r="CU5" s="379">
        <f>(HLOOKUP($AI5,'Inflation Adjustments'!$B$3:$BT$4,2,TRUE))*CJ5</f>
        <v>8956.6312499999985</v>
      </c>
      <c r="CV5" s="379">
        <f>(HLOOKUP($AI5,'Inflation Adjustments'!$B$3:$BT$4,2,TRUE))*CK5</f>
        <v>27467.002499999999</v>
      </c>
      <c r="CW5" s="379">
        <f>(HLOOKUP($AI5,'Inflation Adjustments'!$B$3:$BT$4,2,TRUE))*CL5</f>
        <v>41797.612499999996</v>
      </c>
      <c r="CX5" s="379">
        <f>(HLOOKUP($AI5,'Inflation Adjustments'!$B$3:$BT$4,2,TRUE))*CM5</f>
        <v>17913.262499999997</v>
      </c>
      <c r="CY5" s="379">
        <f>(HLOOKUP($AI5,'Inflation Adjustments'!$B$3:$BT$4,2,TRUE))*CN5</f>
        <v>11942.174999999999</v>
      </c>
      <c r="CZ5" s="379">
        <f>(HLOOKUP($AI5,'Inflation Adjustments'!$B$3:$BT$4,2,TRUE))*CO5</f>
        <v>11942.174999999999</v>
      </c>
      <c r="DA5" s="379">
        <f>(HLOOKUP($AI5,'Inflation Adjustments'!$B$3:$BT$4,2,TRUE))*CP5</f>
        <v>15524.827499999999</v>
      </c>
      <c r="DB5" s="379">
        <f>(HLOOKUP($AI5,'Inflation Adjustments'!$B$3:$BT$4,2,TRUE))*CQ5</f>
        <v>4776.87</v>
      </c>
      <c r="DC5" s="379">
        <f t="shared" ref="DC5:DC21" si="17">SUM(CS5:DB5)</f>
        <v>217944.69374999998</v>
      </c>
      <c r="DD5" s="354">
        <f t="shared" ref="DD5:DD21" si="18">IF(($C$1-AI5-1)&lt;0,0,$C$1-AI5-1)</f>
        <v>0</v>
      </c>
      <c r="DE5" s="378">
        <f t="shared" ref="DE5:DE21" si="19">(HLOOKUP(T5,$CD$4:$CG$14,2,FALSE))</f>
        <v>40</v>
      </c>
      <c r="DF5" s="378">
        <f t="shared" ref="DF5:DF21" si="20">(HLOOKUP(U5,$CD$4:$CG$14,3,FALSE))</f>
        <v>40</v>
      </c>
      <c r="DG5" s="378">
        <f t="shared" ref="DG5:DG21" si="21">(HLOOKUP(V5,$CD$4:$CG$14,4,FALSE))</f>
        <v>20</v>
      </c>
      <c r="DH5" s="378">
        <f t="shared" ref="DH5:DH21" si="22">(HLOOKUP(W5,$CD$4:$CG$14,5,FALSE))</f>
        <v>30</v>
      </c>
      <c r="DI5" s="378">
        <f t="shared" ref="DI5:DI21" si="23">(HLOOKUP(X5,$CD$4:$CG$14,6,FALSE))</f>
        <v>60</v>
      </c>
      <c r="DJ5" s="378">
        <f t="shared" ref="DJ5:DJ21" si="24">(HLOOKUP(Y5,$CD$4:$CG$14,7,FALSE))</f>
        <v>30</v>
      </c>
      <c r="DK5" s="378">
        <f t="shared" ref="DK5:DK21" si="25">(HLOOKUP(Z5,$CD$4:$CG$14,8,FALSE))</f>
        <v>20</v>
      </c>
      <c r="DL5" s="378">
        <f t="shared" ref="DL5:DL21" si="26">(HLOOKUP(AA5,$CD$4:$CG$14,8,FALSE))</f>
        <v>20</v>
      </c>
      <c r="DM5" s="378">
        <f t="shared" ref="DM5:DM21" si="27">(HLOOKUP(AB5,$CD$4:$CG$14,9))</f>
        <v>30</v>
      </c>
      <c r="DN5" s="378">
        <f t="shared" ref="DN5:DN21" si="28">(HLOOKUP(AC5,$CD$4:$CG$14,10))</f>
        <v>30</v>
      </c>
      <c r="DO5" s="380">
        <f t="shared" ref="DO5:DO14" si="29">CS5/DE5</f>
        <v>447.8315624999999</v>
      </c>
      <c r="DP5" s="380">
        <f t="shared" ref="DP5:DP14" si="30">CT5/DF5</f>
        <v>1492.7718749999999</v>
      </c>
      <c r="DQ5" s="380">
        <f t="shared" ref="DQ5:DQ14" si="31">CU5/DG5</f>
        <v>447.8315624999999</v>
      </c>
      <c r="DR5" s="380">
        <f t="shared" ref="DR5:DR14" si="32">CV5/DH5</f>
        <v>915.56674999999996</v>
      </c>
      <c r="DS5" s="380">
        <f t="shared" ref="DS5:DS14" si="33">CW5/DI5</f>
        <v>696.62687499999993</v>
      </c>
      <c r="DT5" s="380">
        <f t="shared" ref="DT5:DT14" si="34">CX5/DJ5</f>
        <v>597.10874999999987</v>
      </c>
      <c r="DU5" s="380">
        <f t="shared" ref="DU5:DU14" si="35">CY5/DK5</f>
        <v>597.10874999999999</v>
      </c>
      <c r="DV5" s="380">
        <f t="shared" ref="DV5:DV14" si="36">CZ5/DL5</f>
        <v>597.10874999999999</v>
      </c>
      <c r="DW5" s="380">
        <f t="shared" ref="DW5:DW14" si="37">DA5/DM5</f>
        <v>517.49424999999997</v>
      </c>
      <c r="DX5" s="380">
        <f t="shared" ref="DX5:DX14" si="38">DB5/DN5</f>
        <v>159.22899999999998</v>
      </c>
      <c r="DY5" s="380">
        <f t="shared" ref="DY5:DY8" si="39">SUM(DO5:DX5)</f>
        <v>6468.6781250000004</v>
      </c>
      <c r="DZ5" s="378">
        <f t="shared" ref="DZ5:DZ21" si="40">IF(DO5*$DD5&gt;CS5,CS5,DO5*$DD5)</f>
        <v>0</v>
      </c>
      <c r="EA5" s="378">
        <f t="shared" ref="EA5:EA21" si="41">IF(DP5*$DD5&gt;CT5,CT5,DP5*$DD5)</f>
        <v>0</v>
      </c>
      <c r="EB5" s="378">
        <f t="shared" ref="EB5:EB21" si="42">IF(DQ5*$DD5&gt;CU5,CU5,DQ5*$DD5)</f>
        <v>0</v>
      </c>
      <c r="EC5" s="378">
        <f t="shared" ref="EC5:EC21" si="43">IF(DR5*$DD5&gt;CV5,CV5,DR5*$DD5)</f>
        <v>0</v>
      </c>
      <c r="ED5" s="378">
        <f t="shared" ref="ED5:ED21" si="44">IF(DS5*$DD5&gt;CW5,CW5,DS5*$DD5)</f>
        <v>0</v>
      </c>
      <c r="EE5" s="378">
        <f t="shared" ref="EE5:EE21" si="45">IF(DT5*$DD5&gt;CX5,CX5,DT5*$DD5)</f>
        <v>0</v>
      </c>
      <c r="EF5" s="378">
        <f t="shared" ref="EF5:EF21" si="46">IF(DU5*$DD5&gt;CY5,CY5,DU5*$DD5)</f>
        <v>0</v>
      </c>
      <c r="EG5" s="378">
        <f t="shared" ref="EG5:EG21" si="47">IF(DV5*$DD5&gt;CZ5,CZ5,DV5*$DD5)</f>
        <v>0</v>
      </c>
      <c r="EH5" s="378">
        <f t="shared" ref="EH5:EH21" si="48">IF(DW5*$DD5&gt;DA5,DA5,DW5*$DD5)</f>
        <v>0</v>
      </c>
      <c r="EI5" s="378">
        <f t="shared" ref="EI5:EI21" si="49">IF(DX5*$DD5&gt;DB5,DB5,DX5*$DD5)</f>
        <v>0</v>
      </c>
      <c r="EJ5" s="354">
        <f t="shared" ref="EJ5:EJ14" si="50">SUM(DZ5:EI5)</f>
        <v>0</v>
      </c>
      <c r="EK5" s="380">
        <f t="shared" ref="EK5:EK14" si="51">IF(DO5&lt;(CS5-DZ5),DO5,(CS5-DZ5))</f>
        <v>447.8315624999999</v>
      </c>
      <c r="EL5" s="380">
        <f t="shared" ref="EL5:EL14" si="52">IF(DP5&lt;(CT5-EA5),DP5,(CT5-EA5))</f>
        <v>1492.7718749999999</v>
      </c>
      <c r="EM5" s="380">
        <f t="shared" ref="EM5:EM14" si="53">IF(DQ5&lt;(CU5-EB5),DQ5,(CU5-EB5))</f>
        <v>447.8315624999999</v>
      </c>
      <c r="EN5" s="380">
        <f t="shared" ref="EN5:EN14" si="54">IF(DR5&lt;(CV5-EC5),DR5,(CV5-EC5))</f>
        <v>915.56674999999996</v>
      </c>
      <c r="EO5" s="380">
        <f t="shared" ref="EO5:EO14" si="55">IF(DS5&lt;(CW5-ED5),DS5,(CW5-ED5))</f>
        <v>696.62687499999993</v>
      </c>
      <c r="EP5" s="380">
        <f t="shared" ref="EP5:EP14" si="56">IF(DT5&lt;(CX5-EE5),DT5,(CX5-EE5))</f>
        <v>597.10874999999987</v>
      </c>
      <c r="EQ5" s="380">
        <f t="shared" ref="EQ5:EQ14" si="57">IF(DU5&lt;(CY5-EF5),DU5,(CY5-EF5))</f>
        <v>597.10874999999999</v>
      </c>
      <c r="ER5" s="380">
        <f t="shared" ref="ER5:ER14" si="58">IF(DV5&lt;(CZ5-EG5),DV5,(CZ5-EG5))</f>
        <v>597.10874999999999</v>
      </c>
      <c r="ES5" s="380">
        <f t="shared" ref="ES5:ES14" si="59">IF(DW5&lt;(DA5-EH5),DW5,(DA5-EH5))</f>
        <v>517.49424999999997</v>
      </c>
      <c r="ET5" s="380">
        <f t="shared" ref="ET5:ET14" si="60">IF(DX5&lt;(DB5-EI5),DX5,(DB5-EI5))</f>
        <v>159.22899999999998</v>
      </c>
      <c r="EU5" s="379">
        <f t="shared" ref="EU5:EU14" si="61">SUM(EK5:ET5)</f>
        <v>6468.6781250000004</v>
      </c>
      <c r="EV5" s="382"/>
      <c r="EW5" s="382"/>
      <c r="EX5" s="382"/>
      <c r="EY5" s="382"/>
      <c r="EZ5" s="382"/>
      <c r="FA5" s="382"/>
      <c r="FB5" s="382"/>
      <c r="FD5" s="630" t="s">
        <v>1661</v>
      </c>
      <c r="FE5" s="630"/>
      <c r="FF5" s="630"/>
      <c r="FG5" s="630"/>
      <c r="FH5" s="630"/>
      <c r="FI5" s="337"/>
    </row>
    <row r="6" spans="1:165" ht="35" customHeight="1" x14ac:dyDescent="0.3">
      <c r="A6" s="318" t="s">
        <v>1826</v>
      </c>
      <c r="B6" s="318" t="s">
        <v>1614</v>
      </c>
      <c r="C6" s="318" t="s">
        <v>1240</v>
      </c>
      <c r="D6" s="318" t="s">
        <v>79</v>
      </c>
      <c r="E6" s="318" t="s">
        <v>8</v>
      </c>
      <c r="F6" s="318" t="s">
        <v>271</v>
      </c>
      <c r="G6" s="318" t="s">
        <v>1620</v>
      </c>
      <c r="H6" s="318" t="s">
        <v>1623</v>
      </c>
      <c r="I6" s="318" t="s">
        <v>1622</v>
      </c>
      <c r="J6" s="318" t="s">
        <v>1045</v>
      </c>
      <c r="K6" s="318" t="s">
        <v>1047</v>
      </c>
      <c r="L6" s="318" t="s">
        <v>1055</v>
      </c>
      <c r="M6" s="318" t="s">
        <v>1063</v>
      </c>
      <c r="N6" s="318" t="s">
        <v>1069</v>
      </c>
      <c r="O6" s="318" t="s">
        <v>1072</v>
      </c>
      <c r="P6" s="318" t="s">
        <v>1077</v>
      </c>
      <c r="Q6" s="318" t="s">
        <v>1080</v>
      </c>
      <c r="R6" s="318" t="s">
        <v>1086</v>
      </c>
      <c r="S6" s="318" t="s">
        <v>1088</v>
      </c>
      <c r="T6" s="318" t="s">
        <v>102</v>
      </c>
      <c r="U6" s="318" t="s">
        <v>102</v>
      </c>
      <c r="V6" s="318" t="s">
        <v>104</v>
      </c>
      <c r="W6" s="318" t="s">
        <v>104</v>
      </c>
      <c r="X6" s="318" t="s">
        <v>104</v>
      </c>
      <c r="Y6" s="318" t="s">
        <v>104</v>
      </c>
      <c r="Z6" s="318" t="s">
        <v>104</v>
      </c>
      <c r="AA6" s="318" t="s">
        <v>104</v>
      </c>
      <c r="AB6" s="318" t="s">
        <v>104</v>
      </c>
      <c r="AC6" s="318" t="s">
        <v>104</v>
      </c>
      <c r="AD6" s="318" t="s">
        <v>1771</v>
      </c>
      <c r="AE6" s="318">
        <v>92</v>
      </c>
      <c r="AF6" s="318">
        <v>60</v>
      </c>
      <c r="AG6" s="318">
        <v>2022</v>
      </c>
      <c r="AH6" s="318" t="s">
        <v>800</v>
      </c>
      <c r="AI6" s="318">
        <f t="shared" si="5"/>
        <v>2022</v>
      </c>
      <c r="AJ6" s="318" t="str">
        <f t="shared" si="5"/>
        <v>Estimated</v>
      </c>
      <c r="AK6" s="318"/>
      <c r="AL6" s="318"/>
      <c r="AM6" s="317">
        <f>DC6+EW6</f>
        <v>217944.69374999998</v>
      </c>
      <c r="AN6" s="318" t="s">
        <v>800</v>
      </c>
      <c r="AO6" s="511">
        <f>EJ6+FA6</f>
        <v>0</v>
      </c>
      <c r="AP6" s="511">
        <f t="shared" ref="AP6:AP8" si="62">AM6-AO6</f>
        <v>217944.69374999998</v>
      </c>
      <c r="AQ6" s="511">
        <f>EU6+FB6</f>
        <v>6468.6781250000004</v>
      </c>
      <c r="AR6" s="511">
        <f t="shared" ref="AR6:AR8" si="63">AP6-AQ6</f>
        <v>211476.01562499997</v>
      </c>
      <c r="AS6" s="511">
        <f>HLOOKUP($C$1,'Inflation Adjustments'!$BI$3:$BT$4,2)*CR6</f>
        <v>250636.39781249998</v>
      </c>
      <c r="AT6" s="511">
        <f>IF(BU6="In Service",'Maintenace Cost Assumptions'!$B$3*AS6,0)</f>
        <v>1253.1819890625</v>
      </c>
      <c r="AU6" s="318">
        <v>4</v>
      </c>
      <c r="AV6" s="318">
        <v>4</v>
      </c>
      <c r="AW6" s="318">
        <v>4</v>
      </c>
      <c r="AX6" s="318">
        <v>4</v>
      </c>
      <c r="AY6" s="318">
        <v>4</v>
      </c>
      <c r="AZ6" s="318">
        <v>4</v>
      </c>
      <c r="BA6" s="318">
        <v>4</v>
      </c>
      <c r="BB6" s="318"/>
      <c r="BC6" s="318"/>
      <c r="BD6" s="318"/>
      <c r="BE6" s="318">
        <v>4</v>
      </c>
      <c r="BF6" s="318"/>
      <c r="BG6" s="332">
        <f>(AU6*'Condition rating weights'!H$8+AV6*'Condition rating weights'!I$8+AW6*'Condition rating weights'!J$8+AX6*'Condition rating weights'!K$8+AY6*'Condition rating weights'!L$8+AZ6*'Condition rating weights'!M$8+BA6*'Condition rating weights'!N$8+BB6*'Condition rating weights'!O$8+BC6*'Condition rating weights'!P$8+BD6*'Condition rating weights'!Q$8+BE6*'Condition rating weights'!R$8+BF6*'Condition rating weights'!S$8)/100</f>
        <v>0.8</v>
      </c>
      <c r="BH6" s="333">
        <v>2</v>
      </c>
      <c r="BI6" s="333">
        <v>111</v>
      </c>
      <c r="BJ6" s="333" t="s">
        <v>12</v>
      </c>
      <c r="BK6" s="333" t="s">
        <v>959</v>
      </c>
      <c r="BL6" s="333" t="s">
        <v>960</v>
      </c>
      <c r="BM6" s="333" t="s">
        <v>1030</v>
      </c>
      <c r="BN6" s="333" t="s">
        <v>117</v>
      </c>
      <c r="BO6" s="333" t="s">
        <v>962</v>
      </c>
      <c r="BP6" s="333" t="s">
        <v>962</v>
      </c>
      <c r="BQ6" s="333" t="s">
        <v>963</v>
      </c>
      <c r="BR6" s="333" t="s">
        <v>964</v>
      </c>
      <c r="BS6" s="333" t="s">
        <v>964</v>
      </c>
      <c r="BT6" s="334" t="s">
        <v>965</v>
      </c>
      <c r="BU6" s="335" t="s">
        <v>1430</v>
      </c>
      <c r="BV6" s="255"/>
      <c r="BY6" s="376" t="str">
        <f>'GRC and TUL Assumptions'!A6</f>
        <v>Structure</v>
      </c>
      <c r="BZ6" s="373">
        <f>'GRC and TUL Assumptions'!C6</f>
        <v>500</v>
      </c>
      <c r="CA6" s="373">
        <f>'GRC and TUL Assumptions'!D6</f>
        <v>800</v>
      </c>
      <c r="CB6" s="373">
        <f>'GRC and TUL Assumptions'!E6</f>
        <v>1500</v>
      </c>
      <c r="CC6" s="373">
        <v>0</v>
      </c>
      <c r="CD6" s="373">
        <f>'GRC and TUL Assumptions'!F6</f>
        <v>40</v>
      </c>
      <c r="CE6" s="373">
        <f>'GRC and TUL Assumptions'!G6</f>
        <v>60</v>
      </c>
      <c r="CF6" s="373">
        <f>'GRC and TUL Assumptions'!H6</f>
        <v>60</v>
      </c>
      <c r="CG6" s="373">
        <f t="shared" ref="CG6:CG14" si="64">CD6</f>
        <v>40</v>
      </c>
      <c r="CH6" s="378">
        <f t="shared" si="6"/>
        <v>13800</v>
      </c>
      <c r="CI6" s="378">
        <f t="shared" si="7"/>
        <v>46000</v>
      </c>
      <c r="CJ6" s="378">
        <f t="shared" si="8"/>
        <v>6900</v>
      </c>
      <c r="CK6" s="378">
        <f t="shared" si="9"/>
        <v>21160</v>
      </c>
      <c r="CL6" s="378">
        <f t="shared" si="10"/>
        <v>32200</v>
      </c>
      <c r="CM6" s="378">
        <f t="shared" si="11"/>
        <v>13800</v>
      </c>
      <c r="CN6" s="378">
        <f t="shared" si="12"/>
        <v>9200</v>
      </c>
      <c r="CO6" s="378">
        <f t="shared" si="13"/>
        <v>9200</v>
      </c>
      <c r="CP6" s="378">
        <f t="shared" si="14"/>
        <v>11960</v>
      </c>
      <c r="CQ6" s="378">
        <f t="shared" si="15"/>
        <v>3680</v>
      </c>
      <c r="CR6" s="354">
        <f t="shared" si="16"/>
        <v>167900</v>
      </c>
      <c r="CS6" s="379">
        <f>(HLOOKUP($AI6,'Inflation Adjustments'!$B$3:$BT$4,2,TRUE))*CH6</f>
        <v>17913.262499999997</v>
      </c>
      <c r="CT6" s="379">
        <f>(HLOOKUP($AI6,'Inflation Adjustments'!$B$3:$BT$4,2,TRUE))*CI6</f>
        <v>59710.874999999993</v>
      </c>
      <c r="CU6" s="379">
        <f>(HLOOKUP($AI6,'Inflation Adjustments'!$B$3:$BT$4,2,TRUE))*CJ6</f>
        <v>8956.6312499999985</v>
      </c>
      <c r="CV6" s="379">
        <f>(HLOOKUP($AI6,'Inflation Adjustments'!$B$3:$BT$4,2,TRUE))*CK6</f>
        <v>27467.002499999999</v>
      </c>
      <c r="CW6" s="379">
        <f>(HLOOKUP($AI6,'Inflation Adjustments'!$B$3:$BT$4,2,TRUE))*CL6</f>
        <v>41797.612499999996</v>
      </c>
      <c r="CX6" s="379">
        <f>(HLOOKUP($AI6,'Inflation Adjustments'!$B$3:$BT$4,2,TRUE))*CM6</f>
        <v>17913.262499999997</v>
      </c>
      <c r="CY6" s="379">
        <f>(HLOOKUP($AI6,'Inflation Adjustments'!$B$3:$BT$4,2,TRUE))*CN6</f>
        <v>11942.174999999999</v>
      </c>
      <c r="CZ6" s="379">
        <f>(HLOOKUP($AI6,'Inflation Adjustments'!$B$3:$BT$4,2,TRUE))*CO6</f>
        <v>11942.174999999999</v>
      </c>
      <c r="DA6" s="379">
        <f>(HLOOKUP($AI6,'Inflation Adjustments'!$B$3:$BT$4,2,TRUE))*CP6</f>
        <v>15524.827499999999</v>
      </c>
      <c r="DB6" s="379">
        <f>(HLOOKUP($AI6,'Inflation Adjustments'!$B$3:$BT$4,2,TRUE))*CQ6</f>
        <v>4776.87</v>
      </c>
      <c r="DC6" s="379">
        <f t="shared" si="17"/>
        <v>217944.69374999998</v>
      </c>
      <c r="DD6" s="354">
        <f t="shared" si="18"/>
        <v>0</v>
      </c>
      <c r="DE6" s="378">
        <f t="shared" si="19"/>
        <v>40</v>
      </c>
      <c r="DF6" s="378">
        <f t="shared" si="20"/>
        <v>40</v>
      </c>
      <c r="DG6" s="378">
        <f t="shared" si="21"/>
        <v>20</v>
      </c>
      <c r="DH6" s="378">
        <f t="shared" si="22"/>
        <v>30</v>
      </c>
      <c r="DI6" s="378">
        <f t="shared" si="23"/>
        <v>60</v>
      </c>
      <c r="DJ6" s="378">
        <f t="shared" si="24"/>
        <v>30</v>
      </c>
      <c r="DK6" s="378">
        <f t="shared" si="25"/>
        <v>20</v>
      </c>
      <c r="DL6" s="378">
        <f t="shared" si="26"/>
        <v>20</v>
      </c>
      <c r="DM6" s="378">
        <f t="shared" si="27"/>
        <v>30</v>
      </c>
      <c r="DN6" s="378">
        <f t="shared" si="28"/>
        <v>30</v>
      </c>
      <c r="DO6" s="380">
        <f t="shared" si="29"/>
        <v>447.8315624999999</v>
      </c>
      <c r="DP6" s="380">
        <f t="shared" si="30"/>
        <v>1492.7718749999999</v>
      </c>
      <c r="DQ6" s="380">
        <f t="shared" si="31"/>
        <v>447.8315624999999</v>
      </c>
      <c r="DR6" s="380">
        <f t="shared" si="32"/>
        <v>915.56674999999996</v>
      </c>
      <c r="DS6" s="380">
        <f t="shared" si="33"/>
        <v>696.62687499999993</v>
      </c>
      <c r="DT6" s="380">
        <f t="shared" si="34"/>
        <v>597.10874999999987</v>
      </c>
      <c r="DU6" s="380">
        <f t="shared" si="35"/>
        <v>597.10874999999999</v>
      </c>
      <c r="DV6" s="380">
        <f t="shared" si="36"/>
        <v>597.10874999999999</v>
      </c>
      <c r="DW6" s="380">
        <f t="shared" si="37"/>
        <v>517.49424999999997</v>
      </c>
      <c r="DX6" s="380">
        <f t="shared" si="38"/>
        <v>159.22899999999998</v>
      </c>
      <c r="DY6" s="380">
        <f t="shared" si="39"/>
        <v>6468.6781250000004</v>
      </c>
      <c r="DZ6" s="378">
        <f t="shared" si="40"/>
        <v>0</v>
      </c>
      <c r="EA6" s="378">
        <f t="shared" si="41"/>
        <v>0</v>
      </c>
      <c r="EB6" s="378">
        <f t="shared" si="42"/>
        <v>0</v>
      </c>
      <c r="EC6" s="378">
        <f t="shared" si="43"/>
        <v>0</v>
      </c>
      <c r="ED6" s="378">
        <f t="shared" si="44"/>
        <v>0</v>
      </c>
      <c r="EE6" s="378">
        <f t="shared" si="45"/>
        <v>0</v>
      </c>
      <c r="EF6" s="378">
        <f t="shared" si="46"/>
        <v>0</v>
      </c>
      <c r="EG6" s="378">
        <f t="shared" si="47"/>
        <v>0</v>
      </c>
      <c r="EH6" s="378">
        <f t="shared" si="48"/>
        <v>0</v>
      </c>
      <c r="EI6" s="378">
        <f t="shared" si="49"/>
        <v>0</v>
      </c>
      <c r="EJ6" s="354">
        <f t="shared" si="50"/>
        <v>0</v>
      </c>
      <c r="EK6" s="380">
        <f t="shared" si="51"/>
        <v>447.8315624999999</v>
      </c>
      <c r="EL6" s="380">
        <f t="shared" si="52"/>
        <v>1492.7718749999999</v>
      </c>
      <c r="EM6" s="380">
        <f t="shared" si="53"/>
        <v>447.8315624999999</v>
      </c>
      <c r="EN6" s="380">
        <f t="shared" si="54"/>
        <v>915.56674999999996</v>
      </c>
      <c r="EO6" s="380">
        <f t="shared" si="55"/>
        <v>696.62687499999993</v>
      </c>
      <c r="EP6" s="380">
        <f t="shared" si="56"/>
        <v>597.10874999999987</v>
      </c>
      <c r="EQ6" s="380">
        <f t="shared" si="57"/>
        <v>597.10874999999999</v>
      </c>
      <c r="ER6" s="380">
        <f t="shared" si="58"/>
        <v>597.10874999999999</v>
      </c>
      <c r="ES6" s="380">
        <f t="shared" si="59"/>
        <v>517.49424999999997</v>
      </c>
      <c r="ET6" s="380">
        <f t="shared" si="60"/>
        <v>159.22899999999998</v>
      </c>
      <c r="EU6" s="379">
        <f t="shared" si="61"/>
        <v>6468.6781250000004</v>
      </c>
      <c r="EV6" s="382"/>
      <c r="EW6" s="382"/>
      <c r="EX6" s="382"/>
      <c r="EY6" s="382"/>
      <c r="EZ6" s="382"/>
      <c r="FA6" s="382"/>
      <c r="FB6" s="382"/>
      <c r="FD6" s="583" t="s">
        <v>1655</v>
      </c>
      <c r="FE6" s="583"/>
      <c r="FF6" s="583"/>
      <c r="FG6" s="583"/>
      <c r="FH6" s="583"/>
      <c r="FI6" s="359"/>
    </row>
    <row r="7" spans="1:165" ht="35" customHeight="1" x14ac:dyDescent="0.3">
      <c r="A7" s="318" t="s">
        <v>1827</v>
      </c>
      <c r="B7" s="318" t="s">
        <v>1614</v>
      </c>
      <c r="C7" s="318" t="s">
        <v>1240</v>
      </c>
      <c r="D7" s="318" t="s">
        <v>79</v>
      </c>
      <c r="E7" s="318" t="s">
        <v>8</v>
      </c>
      <c r="F7" s="318" t="s">
        <v>271</v>
      </c>
      <c r="G7" s="318" t="s">
        <v>1620</v>
      </c>
      <c r="H7" s="318" t="s">
        <v>1624</v>
      </c>
      <c r="I7" s="318" t="s">
        <v>1626</v>
      </c>
      <c r="J7" s="318" t="s">
        <v>1045</v>
      </c>
      <c r="K7" s="318" t="s">
        <v>1047</v>
      </c>
      <c r="L7" s="318" t="s">
        <v>1055</v>
      </c>
      <c r="M7" s="318" t="s">
        <v>1063</v>
      </c>
      <c r="N7" s="318" t="s">
        <v>1069</v>
      </c>
      <c r="O7" s="318" t="s">
        <v>1072</v>
      </c>
      <c r="P7" s="318" t="s">
        <v>1077</v>
      </c>
      <c r="Q7" s="318" t="s">
        <v>1080</v>
      </c>
      <c r="R7" s="318" t="s">
        <v>1086</v>
      </c>
      <c r="S7" s="318" t="s">
        <v>1088</v>
      </c>
      <c r="T7" s="318" t="s">
        <v>102</v>
      </c>
      <c r="U7" s="318" t="s">
        <v>102</v>
      </c>
      <c r="V7" s="318" t="s">
        <v>104</v>
      </c>
      <c r="W7" s="318" t="s">
        <v>104</v>
      </c>
      <c r="X7" s="318" t="s">
        <v>104</v>
      </c>
      <c r="Y7" s="318" t="s">
        <v>104</v>
      </c>
      <c r="Z7" s="318" t="s">
        <v>104</v>
      </c>
      <c r="AA7" s="318" t="s">
        <v>104</v>
      </c>
      <c r="AB7" s="318" t="s">
        <v>104</v>
      </c>
      <c r="AC7" s="318" t="s">
        <v>104</v>
      </c>
      <c r="AD7" s="318" t="s">
        <v>1771</v>
      </c>
      <c r="AE7" s="318">
        <v>92</v>
      </c>
      <c r="AF7" s="318">
        <v>60</v>
      </c>
      <c r="AG7" s="318">
        <v>2022</v>
      </c>
      <c r="AH7" s="318" t="s">
        <v>800</v>
      </c>
      <c r="AI7" s="318">
        <f t="shared" si="5"/>
        <v>2022</v>
      </c>
      <c r="AJ7" s="318" t="str">
        <f t="shared" si="5"/>
        <v>Estimated</v>
      </c>
      <c r="AK7" s="318"/>
      <c r="AL7" s="318"/>
      <c r="AM7" s="317">
        <f>DC7+EW7</f>
        <v>217944.69374999998</v>
      </c>
      <c r="AN7" s="318" t="s">
        <v>800</v>
      </c>
      <c r="AO7" s="511">
        <f>EJ7+FA7</f>
        <v>0</v>
      </c>
      <c r="AP7" s="511">
        <f t="shared" si="62"/>
        <v>217944.69374999998</v>
      </c>
      <c r="AQ7" s="511">
        <f>EU7+FB7</f>
        <v>6468.6781250000004</v>
      </c>
      <c r="AR7" s="511">
        <f t="shared" si="63"/>
        <v>211476.01562499997</v>
      </c>
      <c r="AS7" s="511">
        <f>HLOOKUP($C$1,'Inflation Adjustments'!$BI$3:$BT$4,2)*CR7</f>
        <v>250636.39781249998</v>
      </c>
      <c r="AT7" s="511">
        <f>IF(BU7="In Service",'Maintenace Cost Assumptions'!$B$3*AS7,0)</f>
        <v>1253.1819890625</v>
      </c>
      <c r="AU7" s="318">
        <v>4</v>
      </c>
      <c r="AV7" s="318">
        <v>4</v>
      </c>
      <c r="AW7" s="318">
        <v>4</v>
      </c>
      <c r="AX7" s="318">
        <v>4</v>
      </c>
      <c r="AY7" s="318">
        <v>4</v>
      </c>
      <c r="AZ7" s="318">
        <v>4</v>
      </c>
      <c r="BA7" s="318">
        <v>4</v>
      </c>
      <c r="BB7" s="318"/>
      <c r="BC7" s="318"/>
      <c r="BD7" s="318"/>
      <c r="BE7" s="318">
        <v>4</v>
      </c>
      <c r="BF7" s="318"/>
      <c r="BG7" s="332">
        <f>(AU7*'Condition rating weights'!H$8+AV7*'Condition rating weights'!I$8+AW7*'Condition rating weights'!J$8+AX7*'Condition rating weights'!K$8+AY7*'Condition rating weights'!L$8+AZ7*'Condition rating weights'!M$8+BA7*'Condition rating weights'!N$8+BB7*'Condition rating weights'!O$8+BC7*'Condition rating weights'!P$8+BD7*'Condition rating weights'!Q$8+BE7*'Condition rating weights'!R$8+BF7*'Condition rating weights'!S$8)/100</f>
        <v>0.8</v>
      </c>
      <c r="BH7" s="333">
        <v>2</v>
      </c>
      <c r="BI7" s="333">
        <v>111</v>
      </c>
      <c r="BJ7" s="333" t="s">
        <v>12</v>
      </c>
      <c r="BK7" s="333" t="s">
        <v>959</v>
      </c>
      <c r="BL7" s="333" t="s">
        <v>960</v>
      </c>
      <c r="BM7" s="333" t="s">
        <v>1030</v>
      </c>
      <c r="BN7" s="333" t="s">
        <v>117</v>
      </c>
      <c r="BO7" s="333" t="s">
        <v>962</v>
      </c>
      <c r="BP7" s="333" t="s">
        <v>962</v>
      </c>
      <c r="BQ7" s="333" t="s">
        <v>963</v>
      </c>
      <c r="BR7" s="333" t="s">
        <v>964</v>
      </c>
      <c r="BS7" s="333" t="s">
        <v>964</v>
      </c>
      <c r="BT7" s="334" t="s">
        <v>965</v>
      </c>
      <c r="BU7" s="335" t="s">
        <v>1430</v>
      </c>
      <c r="BV7" s="255"/>
      <c r="BY7" s="376" t="str">
        <f>'GRC and TUL Assumptions'!A7</f>
        <v>Roofing</v>
      </c>
      <c r="BZ7" s="373">
        <f>'GRC and TUL Assumptions'!C7</f>
        <v>100</v>
      </c>
      <c r="CA7" s="373">
        <f>'GRC and TUL Assumptions'!D7</f>
        <v>150</v>
      </c>
      <c r="CB7" s="373">
        <f>'GRC and TUL Assumptions'!E7</f>
        <v>300</v>
      </c>
      <c r="CC7" s="373">
        <v>0</v>
      </c>
      <c r="CD7" s="373">
        <f>'GRC and TUL Assumptions'!F7</f>
        <v>10</v>
      </c>
      <c r="CE7" s="373">
        <f>'GRC and TUL Assumptions'!G7</f>
        <v>20</v>
      </c>
      <c r="CF7" s="373">
        <f>'GRC and TUL Assumptions'!H7</f>
        <v>30</v>
      </c>
      <c r="CG7" s="373">
        <f t="shared" si="64"/>
        <v>10</v>
      </c>
      <c r="CH7" s="378">
        <f t="shared" si="6"/>
        <v>13800</v>
      </c>
      <c r="CI7" s="378">
        <f t="shared" si="7"/>
        <v>46000</v>
      </c>
      <c r="CJ7" s="378">
        <f t="shared" si="8"/>
        <v>6900</v>
      </c>
      <c r="CK7" s="378">
        <f t="shared" si="9"/>
        <v>21160</v>
      </c>
      <c r="CL7" s="378">
        <f t="shared" si="10"/>
        <v>32200</v>
      </c>
      <c r="CM7" s="378">
        <f t="shared" si="11"/>
        <v>13800</v>
      </c>
      <c r="CN7" s="378">
        <f t="shared" si="12"/>
        <v>9200</v>
      </c>
      <c r="CO7" s="378">
        <f t="shared" si="13"/>
        <v>9200</v>
      </c>
      <c r="CP7" s="378">
        <f t="shared" si="14"/>
        <v>11960</v>
      </c>
      <c r="CQ7" s="378">
        <f t="shared" si="15"/>
        <v>3680</v>
      </c>
      <c r="CR7" s="354">
        <f t="shared" si="16"/>
        <v>167900</v>
      </c>
      <c r="CS7" s="379">
        <f>(HLOOKUP($AI7,'Inflation Adjustments'!$B$3:$BT$4,2,TRUE))*CH7</f>
        <v>17913.262499999997</v>
      </c>
      <c r="CT7" s="379">
        <f>(HLOOKUP($AI7,'Inflation Adjustments'!$B$3:$BT$4,2,TRUE))*CI7</f>
        <v>59710.874999999993</v>
      </c>
      <c r="CU7" s="379">
        <f>(HLOOKUP($AI7,'Inflation Adjustments'!$B$3:$BT$4,2,TRUE))*CJ7</f>
        <v>8956.6312499999985</v>
      </c>
      <c r="CV7" s="379">
        <f>(HLOOKUP($AI7,'Inflation Adjustments'!$B$3:$BT$4,2,TRUE))*CK7</f>
        <v>27467.002499999999</v>
      </c>
      <c r="CW7" s="379">
        <f>(HLOOKUP($AI7,'Inflation Adjustments'!$B$3:$BT$4,2,TRUE))*CL7</f>
        <v>41797.612499999996</v>
      </c>
      <c r="CX7" s="379">
        <f>(HLOOKUP($AI7,'Inflation Adjustments'!$B$3:$BT$4,2,TRUE))*CM7</f>
        <v>17913.262499999997</v>
      </c>
      <c r="CY7" s="379">
        <f>(HLOOKUP($AI7,'Inflation Adjustments'!$B$3:$BT$4,2,TRUE))*CN7</f>
        <v>11942.174999999999</v>
      </c>
      <c r="CZ7" s="379">
        <f>(HLOOKUP($AI7,'Inflation Adjustments'!$B$3:$BT$4,2,TRUE))*CO7</f>
        <v>11942.174999999999</v>
      </c>
      <c r="DA7" s="379">
        <f>(HLOOKUP($AI7,'Inflation Adjustments'!$B$3:$BT$4,2,TRUE))*CP7</f>
        <v>15524.827499999999</v>
      </c>
      <c r="DB7" s="379">
        <f>(HLOOKUP($AI7,'Inflation Adjustments'!$B$3:$BT$4,2,TRUE))*CQ7</f>
        <v>4776.87</v>
      </c>
      <c r="DC7" s="379">
        <f t="shared" si="17"/>
        <v>217944.69374999998</v>
      </c>
      <c r="DD7" s="354">
        <f t="shared" si="18"/>
        <v>0</v>
      </c>
      <c r="DE7" s="378">
        <f t="shared" si="19"/>
        <v>40</v>
      </c>
      <c r="DF7" s="378">
        <f t="shared" si="20"/>
        <v>40</v>
      </c>
      <c r="DG7" s="378">
        <f t="shared" si="21"/>
        <v>20</v>
      </c>
      <c r="DH7" s="378">
        <f t="shared" si="22"/>
        <v>30</v>
      </c>
      <c r="DI7" s="378">
        <f t="shared" si="23"/>
        <v>60</v>
      </c>
      <c r="DJ7" s="378">
        <f t="shared" si="24"/>
        <v>30</v>
      </c>
      <c r="DK7" s="378">
        <f t="shared" si="25"/>
        <v>20</v>
      </c>
      <c r="DL7" s="378">
        <f t="shared" si="26"/>
        <v>20</v>
      </c>
      <c r="DM7" s="378">
        <f t="shared" si="27"/>
        <v>30</v>
      </c>
      <c r="DN7" s="378">
        <f t="shared" si="28"/>
        <v>30</v>
      </c>
      <c r="DO7" s="380">
        <f t="shared" si="29"/>
        <v>447.8315624999999</v>
      </c>
      <c r="DP7" s="380">
        <f t="shared" si="30"/>
        <v>1492.7718749999999</v>
      </c>
      <c r="DQ7" s="380">
        <f t="shared" si="31"/>
        <v>447.8315624999999</v>
      </c>
      <c r="DR7" s="380">
        <f t="shared" si="32"/>
        <v>915.56674999999996</v>
      </c>
      <c r="DS7" s="380">
        <f t="shared" si="33"/>
        <v>696.62687499999993</v>
      </c>
      <c r="DT7" s="380">
        <f t="shared" si="34"/>
        <v>597.10874999999987</v>
      </c>
      <c r="DU7" s="380">
        <f t="shared" si="35"/>
        <v>597.10874999999999</v>
      </c>
      <c r="DV7" s="380">
        <f t="shared" si="36"/>
        <v>597.10874999999999</v>
      </c>
      <c r="DW7" s="380">
        <f t="shared" si="37"/>
        <v>517.49424999999997</v>
      </c>
      <c r="DX7" s="380">
        <f t="shared" si="38"/>
        <v>159.22899999999998</v>
      </c>
      <c r="DY7" s="380">
        <f t="shared" si="39"/>
        <v>6468.6781250000004</v>
      </c>
      <c r="DZ7" s="378">
        <f t="shared" si="40"/>
        <v>0</v>
      </c>
      <c r="EA7" s="378">
        <f t="shared" si="41"/>
        <v>0</v>
      </c>
      <c r="EB7" s="378">
        <f t="shared" si="42"/>
        <v>0</v>
      </c>
      <c r="EC7" s="378">
        <f t="shared" si="43"/>
        <v>0</v>
      </c>
      <c r="ED7" s="378">
        <f t="shared" si="44"/>
        <v>0</v>
      </c>
      <c r="EE7" s="378">
        <f t="shared" si="45"/>
        <v>0</v>
      </c>
      <c r="EF7" s="378">
        <f t="shared" si="46"/>
        <v>0</v>
      </c>
      <c r="EG7" s="378">
        <f t="shared" si="47"/>
        <v>0</v>
      </c>
      <c r="EH7" s="378">
        <f t="shared" si="48"/>
        <v>0</v>
      </c>
      <c r="EI7" s="378">
        <f t="shared" si="49"/>
        <v>0</v>
      </c>
      <c r="EJ7" s="354">
        <f t="shared" si="50"/>
        <v>0</v>
      </c>
      <c r="EK7" s="380">
        <f t="shared" si="51"/>
        <v>447.8315624999999</v>
      </c>
      <c r="EL7" s="380">
        <f t="shared" si="52"/>
        <v>1492.7718749999999</v>
      </c>
      <c r="EM7" s="380">
        <f t="shared" si="53"/>
        <v>447.8315624999999</v>
      </c>
      <c r="EN7" s="380">
        <f t="shared" si="54"/>
        <v>915.56674999999996</v>
      </c>
      <c r="EO7" s="380">
        <f t="shared" si="55"/>
        <v>696.62687499999993</v>
      </c>
      <c r="EP7" s="380">
        <f t="shared" si="56"/>
        <v>597.10874999999987</v>
      </c>
      <c r="EQ7" s="380">
        <f t="shared" si="57"/>
        <v>597.10874999999999</v>
      </c>
      <c r="ER7" s="380">
        <f t="shared" si="58"/>
        <v>597.10874999999999</v>
      </c>
      <c r="ES7" s="380">
        <f t="shared" si="59"/>
        <v>517.49424999999997</v>
      </c>
      <c r="ET7" s="380">
        <f t="shared" si="60"/>
        <v>159.22899999999998</v>
      </c>
      <c r="EU7" s="379">
        <f t="shared" si="61"/>
        <v>6468.6781250000004</v>
      </c>
      <c r="EV7" s="382"/>
      <c r="EW7" s="382"/>
      <c r="EX7" s="382"/>
      <c r="EY7" s="382"/>
      <c r="EZ7" s="382"/>
      <c r="FA7" s="382"/>
      <c r="FB7" s="382"/>
      <c r="FE7" s="91" t="s">
        <v>1657</v>
      </c>
    </row>
    <row r="8" spans="1:165" ht="35" customHeight="1" x14ac:dyDescent="0.3">
      <c r="A8" s="318" t="s">
        <v>1828</v>
      </c>
      <c r="B8" s="318" t="s">
        <v>1614</v>
      </c>
      <c r="C8" s="318" t="s">
        <v>1240</v>
      </c>
      <c r="D8" s="318" t="s">
        <v>79</v>
      </c>
      <c r="E8" s="318" t="s">
        <v>8</v>
      </c>
      <c r="F8" s="318" t="s">
        <v>271</v>
      </c>
      <c r="G8" s="318" t="s">
        <v>1620</v>
      </c>
      <c r="H8" s="318" t="s">
        <v>1625</v>
      </c>
      <c r="I8" s="318" t="s">
        <v>1626</v>
      </c>
      <c r="J8" s="318" t="s">
        <v>1045</v>
      </c>
      <c r="K8" s="318" t="s">
        <v>1047</v>
      </c>
      <c r="L8" s="318" t="s">
        <v>1055</v>
      </c>
      <c r="M8" s="318" t="s">
        <v>1063</v>
      </c>
      <c r="N8" s="318" t="s">
        <v>1069</v>
      </c>
      <c r="O8" s="318" t="s">
        <v>1072</v>
      </c>
      <c r="P8" s="318" t="s">
        <v>1077</v>
      </c>
      <c r="Q8" s="318" t="s">
        <v>1080</v>
      </c>
      <c r="R8" s="318" t="s">
        <v>1086</v>
      </c>
      <c r="S8" s="318" t="s">
        <v>1088</v>
      </c>
      <c r="T8" s="318" t="s">
        <v>102</v>
      </c>
      <c r="U8" s="318" t="s">
        <v>102</v>
      </c>
      <c r="V8" s="318" t="s">
        <v>104</v>
      </c>
      <c r="W8" s="318" t="s">
        <v>104</v>
      </c>
      <c r="X8" s="318" t="s">
        <v>104</v>
      </c>
      <c r="Y8" s="318" t="s">
        <v>104</v>
      </c>
      <c r="Z8" s="318" t="s">
        <v>104</v>
      </c>
      <c r="AA8" s="318" t="s">
        <v>104</v>
      </c>
      <c r="AB8" s="318" t="s">
        <v>104</v>
      </c>
      <c r="AC8" s="318" t="s">
        <v>104</v>
      </c>
      <c r="AD8" s="318" t="s">
        <v>1771</v>
      </c>
      <c r="AE8" s="318">
        <v>92</v>
      </c>
      <c r="AF8" s="318">
        <v>60</v>
      </c>
      <c r="AG8" s="318">
        <v>2022</v>
      </c>
      <c r="AH8" s="318" t="s">
        <v>800</v>
      </c>
      <c r="AI8" s="318">
        <f t="shared" si="5"/>
        <v>2022</v>
      </c>
      <c r="AJ8" s="318" t="str">
        <f t="shared" si="5"/>
        <v>Estimated</v>
      </c>
      <c r="AK8" s="318"/>
      <c r="AL8" s="318"/>
      <c r="AM8" s="317">
        <f>DC8+EW8</f>
        <v>217944.69374999998</v>
      </c>
      <c r="AN8" s="318" t="s">
        <v>800</v>
      </c>
      <c r="AO8" s="511">
        <f>EJ8+FA8</f>
        <v>0</v>
      </c>
      <c r="AP8" s="511">
        <f t="shared" si="62"/>
        <v>217944.69374999998</v>
      </c>
      <c r="AQ8" s="511">
        <f>EU8+FB8</f>
        <v>6468.6781250000004</v>
      </c>
      <c r="AR8" s="511">
        <f t="shared" si="63"/>
        <v>211476.01562499997</v>
      </c>
      <c r="AS8" s="511">
        <f>HLOOKUP($C$1,'Inflation Adjustments'!$BI$3:$BT$4,2)*CR8</f>
        <v>250636.39781249998</v>
      </c>
      <c r="AT8" s="511">
        <f>IF(BU8="In Service",'Maintenace Cost Assumptions'!$B$3*AS8,0)</f>
        <v>1253.1819890625</v>
      </c>
      <c r="AU8" s="318">
        <v>4</v>
      </c>
      <c r="AV8" s="318">
        <v>4</v>
      </c>
      <c r="AW8" s="318">
        <v>4</v>
      </c>
      <c r="AX8" s="318">
        <v>4</v>
      </c>
      <c r="AY8" s="318">
        <v>4</v>
      </c>
      <c r="AZ8" s="318">
        <v>4</v>
      </c>
      <c r="BA8" s="318">
        <v>4</v>
      </c>
      <c r="BB8" s="318"/>
      <c r="BC8" s="318"/>
      <c r="BD8" s="318"/>
      <c r="BE8" s="318">
        <v>4</v>
      </c>
      <c r="BF8" s="318"/>
      <c r="BG8" s="332">
        <f>(AU8*'Condition rating weights'!H$8+AV8*'Condition rating weights'!I$8+AW8*'Condition rating weights'!J$8+AX8*'Condition rating weights'!K$8+AY8*'Condition rating weights'!L$8+AZ8*'Condition rating weights'!M$8+BA8*'Condition rating weights'!N$8+BB8*'Condition rating weights'!O$8+BC8*'Condition rating weights'!P$8+BD8*'Condition rating weights'!Q$8+BE8*'Condition rating weights'!R$8+BF8*'Condition rating weights'!S$8)/100</f>
        <v>0.8</v>
      </c>
      <c r="BH8" s="333">
        <v>2</v>
      </c>
      <c r="BI8" s="333">
        <v>111</v>
      </c>
      <c r="BJ8" s="333" t="s">
        <v>12</v>
      </c>
      <c r="BK8" s="333" t="s">
        <v>959</v>
      </c>
      <c r="BL8" s="333" t="s">
        <v>960</v>
      </c>
      <c r="BM8" s="333" t="s">
        <v>1030</v>
      </c>
      <c r="BN8" s="333" t="s">
        <v>117</v>
      </c>
      <c r="BO8" s="333" t="s">
        <v>962</v>
      </c>
      <c r="BP8" s="333" t="s">
        <v>962</v>
      </c>
      <c r="BQ8" s="333" t="s">
        <v>963</v>
      </c>
      <c r="BR8" s="333" t="s">
        <v>964</v>
      </c>
      <c r="BS8" s="333" t="s">
        <v>964</v>
      </c>
      <c r="BT8" s="334" t="s">
        <v>965</v>
      </c>
      <c r="BU8" s="335" t="s">
        <v>1430</v>
      </c>
      <c r="BV8" s="255"/>
      <c r="BY8" s="376" t="str">
        <f>'GRC and TUL Assumptions'!A8</f>
        <v>Exterior Wall Cladding</v>
      </c>
      <c r="BZ8" s="373">
        <f>'GRC and TUL Assumptions'!C8</f>
        <v>150</v>
      </c>
      <c r="CA8" s="373">
        <f>'GRC and TUL Assumptions'!D8</f>
        <v>230</v>
      </c>
      <c r="CB8" s="373">
        <f>'GRC and TUL Assumptions'!E8</f>
        <v>300</v>
      </c>
      <c r="CC8" s="373">
        <v>0</v>
      </c>
      <c r="CD8" s="373">
        <f>'GRC and TUL Assumptions'!F8</f>
        <v>20</v>
      </c>
      <c r="CE8" s="373">
        <f>'GRC and TUL Assumptions'!G8</f>
        <v>30</v>
      </c>
      <c r="CF8" s="373">
        <f>'GRC and TUL Assumptions'!H8</f>
        <v>40</v>
      </c>
      <c r="CG8" s="373">
        <f t="shared" si="64"/>
        <v>20</v>
      </c>
      <c r="CH8" s="378">
        <f t="shared" si="6"/>
        <v>13800</v>
      </c>
      <c r="CI8" s="378">
        <f t="shared" si="7"/>
        <v>46000</v>
      </c>
      <c r="CJ8" s="378">
        <f t="shared" si="8"/>
        <v>6900</v>
      </c>
      <c r="CK8" s="378">
        <f t="shared" si="9"/>
        <v>21160</v>
      </c>
      <c r="CL8" s="378">
        <f t="shared" si="10"/>
        <v>32200</v>
      </c>
      <c r="CM8" s="378">
        <f t="shared" si="11"/>
        <v>13800</v>
      </c>
      <c r="CN8" s="378">
        <f t="shared" si="12"/>
        <v>9200</v>
      </c>
      <c r="CO8" s="378">
        <f t="shared" si="13"/>
        <v>9200</v>
      </c>
      <c r="CP8" s="378">
        <f t="shared" si="14"/>
        <v>11960</v>
      </c>
      <c r="CQ8" s="378">
        <f t="shared" si="15"/>
        <v>3680</v>
      </c>
      <c r="CR8" s="354">
        <f t="shared" si="16"/>
        <v>167900</v>
      </c>
      <c r="CS8" s="379">
        <f>(HLOOKUP($AI8,'Inflation Adjustments'!$B$3:$BT$4,2,TRUE))*CH8</f>
        <v>17913.262499999997</v>
      </c>
      <c r="CT8" s="379">
        <f>(HLOOKUP($AI8,'Inflation Adjustments'!$B$3:$BT$4,2,TRUE))*CI8</f>
        <v>59710.874999999993</v>
      </c>
      <c r="CU8" s="379">
        <f>(HLOOKUP($AI8,'Inflation Adjustments'!$B$3:$BT$4,2,TRUE))*CJ8</f>
        <v>8956.6312499999985</v>
      </c>
      <c r="CV8" s="379">
        <f>(HLOOKUP($AI8,'Inflation Adjustments'!$B$3:$BT$4,2,TRUE))*CK8</f>
        <v>27467.002499999999</v>
      </c>
      <c r="CW8" s="379">
        <f>(HLOOKUP($AI8,'Inflation Adjustments'!$B$3:$BT$4,2,TRUE))*CL8</f>
        <v>41797.612499999996</v>
      </c>
      <c r="CX8" s="379">
        <f>(HLOOKUP($AI8,'Inflation Adjustments'!$B$3:$BT$4,2,TRUE))*CM8</f>
        <v>17913.262499999997</v>
      </c>
      <c r="CY8" s="379">
        <f>(HLOOKUP($AI8,'Inflation Adjustments'!$B$3:$BT$4,2,TRUE))*CN8</f>
        <v>11942.174999999999</v>
      </c>
      <c r="CZ8" s="379">
        <f>(HLOOKUP($AI8,'Inflation Adjustments'!$B$3:$BT$4,2,TRUE))*CO8</f>
        <v>11942.174999999999</v>
      </c>
      <c r="DA8" s="379">
        <f>(HLOOKUP($AI8,'Inflation Adjustments'!$B$3:$BT$4,2,TRUE))*CP8</f>
        <v>15524.827499999999</v>
      </c>
      <c r="DB8" s="379">
        <f>(HLOOKUP($AI8,'Inflation Adjustments'!$B$3:$BT$4,2,TRUE))*CQ8</f>
        <v>4776.87</v>
      </c>
      <c r="DC8" s="379">
        <f t="shared" si="17"/>
        <v>217944.69374999998</v>
      </c>
      <c r="DD8" s="354">
        <f t="shared" si="18"/>
        <v>0</v>
      </c>
      <c r="DE8" s="378">
        <f t="shared" si="19"/>
        <v>40</v>
      </c>
      <c r="DF8" s="378">
        <f t="shared" si="20"/>
        <v>40</v>
      </c>
      <c r="DG8" s="378">
        <f t="shared" si="21"/>
        <v>20</v>
      </c>
      <c r="DH8" s="378">
        <f t="shared" si="22"/>
        <v>30</v>
      </c>
      <c r="DI8" s="378">
        <f t="shared" si="23"/>
        <v>60</v>
      </c>
      <c r="DJ8" s="378">
        <f t="shared" si="24"/>
        <v>30</v>
      </c>
      <c r="DK8" s="378">
        <f t="shared" si="25"/>
        <v>20</v>
      </c>
      <c r="DL8" s="378">
        <f t="shared" si="26"/>
        <v>20</v>
      </c>
      <c r="DM8" s="378">
        <f t="shared" si="27"/>
        <v>30</v>
      </c>
      <c r="DN8" s="378">
        <f t="shared" si="28"/>
        <v>30</v>
      </c>
      <c r="DO8" s="380">
        <f t="shared" si="29"/>
        <v>447.8315624999999</v>
      </c>
      <c r="DP8" s="380">
        <f t="shared" si="30"/>
        <v>1492.7718749999999</v>
      </c>
      <c r="DQ8" s="380">
        <f t="shared" si="31"/>
        <v>447.8315624999999</v>
      </c>
      <c r="DR8" s="380">
        <f t="shared" si="32"/>
        <v>915.56674999999996</v>
      </c>
      <c r="DS8" s="380">
        <f t="shared" si="33"/>
        <v>696.62687499999993</v>
      </c>
      <c r="DT8" s="380">
        <f t="shared" si="34"/>
        <v>597.10874999999987</v>
      </c>
      <c r="DU8" s="380">
        <f t="shared" si="35"/>
        <v>597.10874999999999</v>
      </c>
      <c r="DV8" s="380">
        <f t="shared" si="36"/>
        <v>597.10874999999999</v>
      </c>
      <c r="DW8" s="380">
        <f t="shared" si="37"/>
        <v>517.49424999999997</v>
      </c>
      <c r="DX8" s="380">
        <f t="shared" si="38"/>
        <v>159.22899999999998</v>
      </c>
      <c r="DY8" s="380">
        <f t="shared" si="39"/>
        <v>6468.6781250000004</v>
      </c>
      <c r="DZ8" s="378">
        <f t="shared" si="40"/>
        <v>0</v>
      </c>
      <c r="EA8" s="378">
        <f t="shared" si="41"/>
        <v>0</v>
      </c>
      <c r="EB8" s="378">
        <f t="shared" si="42"/>
        <v>0</v>
      </c>
      <c r="EC8" s="378">
        <f t="shared" si="43"/>
        <v>0</v>
      </c>
      <c r="ED8" s="378">
        <f t="shared" si="44"/>
        <v>0</v>
      </c>
      <c r="EE8" s="378">
        <f t="shared" si="45"/>
        <v>0</v>
      </c>
      <c r="EF8" s="378">
        <f t="shared" si="46"/>
        <v>0</v>
      </c>
      <c r="EG8" s="378">
        <f t="shared" si="47"/>
        <v>0</v>
      </c>
      <c r="EH8" s="378">
        <f t="shared" si="48"/>
        <v>0</v>
      </c>
      <c r="EI8" s="378">
        <f t="shared" si="49"/>
        <v>0</v>
      </c>
      <c r="EJ8" s="354">
        <f t="shared" si="50"/>
        <v>0</v>
      </c>
      <c r="EK8" s="380">
        <f t="shared" si="51"/>
        <v>447.8315624999999</v>
      </c>
      <c r="EL8" s="380">
        <f t="shared" si="52"/>
        <v>1492.7718749999999</v>
      </c>
      <c r="EM8" s="380">
        <f t="shared" si="53"/>
        <v>447.8315624999999</v>
      </c>
      <c r="EN8" s="380">
        <f t="shared" si="54"/>
        <v>915.56674999999996</v>
      </c>
      <c r="EO8" s="380">
        <f t="shared" si="55"/>
        <v>696.62687499999993</v>
      </c>
      <c r="EP8" s="380">
        <f t="shared" si="56"/>
        <v>597.10874999999987</v>
      </c>
      <c r="EQ8" s="380">
        <f t="shared" si="57"/>
        <v>597.10874999999999</v>
      </c>
      <c r="ER8" s="380">
        <f t="shared" si="58"/>
        <v>597.10874999999999</v>
      </c>
      <c r="ES8" s="380">
        <f t="shared" si="59"/>
        <v>517.49424999999997</v>
      </c>
      <c r="ET8" s="380">
        <f t="shared" si="60"/>
        <v>159.22899999999998</v>
      </c>
      <c r="EU8" s="379">
        <f t="shared" si="61"/>
        <v>6468.6781250000004</v>
      </c>
      <c r="EV8" s="382"/>
      <c r="EW8" s="382"/>
      <c r="EX8" s="382"/>
      <c r="EY8" s="382"/>
      <c r="EZ8" s="382"/>
      <c r="FA8" s="382"/>
      <c r="FB8" s="382"/>
      <c r="FE8" s="91" t="s">
        <v>1657</v>
      </c>
    </row>
    <row r="9" spans="1:165" ht="35" customHeight="1" x14ac:dyDescent="0.3">
      <c r="A9" s="318"/>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7"/>
      <c r="AN9" s="318"/>
      <c r="AO9" s="511" t="e">
        <f t="shared" ref="AO9:AO15" si="65">EJ9+FA9</f>
        <v>#N/A</v>
      </c>
      <c r="AP9" s="511" t="e">
        <f t="shared" ref="AP9:AP15" si="66">AM9-AO9</f>
        <v>#N/A</v>
      </c>
      <c r="AQ9" s="511" t="e">
        <f t="shared" ref="AQ9:AQ15" si="67">EU9+FB9</f>
        <v>#N/A</v>
      </c>
      <c r="AR9" s="511" t="e">
        <f t="shared" ref="AR9:AR15" si="68">AP9-AQ9</f>
        <v>#N/A</v>
      </c>
      <c r="AS9" s="511" t="e">
        <f>HLOOKUP($C$1,'Inflation Adjustments'!$BI$3:$BT$4,2)*CR9</f>
        <v>#N/A</v>
      </c>
      <c r="AT9" s="511">
        <f>IF(BU9="In Service",'Maintenace Cost Assumptions'!$B$3*AS9,0)</f>
        <v>0</v>
      </c>
      <c r="AU9" s="318"/>
      <c r="AV9" s="318"/>
      <c r="AW9" s="318"/>
      <c r="AX9" s="318"/>
      <c r="AY9" s="318"/>
      <c r="AZ9" s="318"/>
      <c r="BA9" s="318"/>
      <c r="BB9" s="318"/>
      <c r="BC9" s="318"/>
      <c r="BD9" s="318"/>
      <c r="BE9" s="318"/>
      <c r="BF9" s="318"/>
      <c r="BG9" s="332">
        <f>(AU9*'Condition rating weights'!H$8+AV9*'Condition rating weights'!I$8+AW9*'Condition rating weights'!J$8+AX9*'Condition rating weights'!K$8+AY9*'Condition rating weights'!L$8+AZ9*'Condition rating weights'!M$8+BA9*'Condition rating weights'!N$8+BB9*'Condition rating weights'!O$8+BC9*'Condition rating weights'!P$8+BD9*'Condition rating weights'!Q$8+BE9*'Condition rating weights'!R$8+BF9*'Condition rating weights'!S$8)/100</f>
        <v>0</v>
      </c>
      <c r="BH9" s="333"/>
      <c r="BI9" s="333"/>
      <c r="BJ9" s="333"/>
      <c r="BK9" s="333"/>
      <c r="BL9" s="333"/>
      <c r="BM9" s="333"/>
      <c r="BN9" s="333"/>
      <c r="BO9" s="333"/>
      <c r="BP9" s="333"/>
      <c r="BQ9" s="333"/>
      <c r="BR9" s="333"/>
      <c r="BS9" s="333"/>
      <c r="BT9" s="334"/>
      <c r="BU9" s="335"/>
      <c r="BV9" s="255"/>
      <c r="BY9" s="376" t="s">
        <v>165</v>
      </c>
      <c r="BZ9" s="373">
        <v>250</v>
      </c>
      <c r="CA9" s="373">
        <v>350</v>
      </c>
      <c r="CB9" s="373">
        <v>500</v>
      </c>
      <c r="CC9" s="373">
        <v>0</v>
      </c>
      <c r="CD9" s="373">
        <v>40</v>
      </c>
      <c r="CE9" s="373">
        <v>60</v>
      </c>
      <c r="CF9" s="373">
        <v>60</v>
      </c>
      <c r="CG9" s="373">
        <v>40</v>
      </c>
      <c r="CH9" s="378" t="e">
        <f t="shared" si="6"/>
        <v>#N/A</v>
      </c>
      <c r="CI9" s="378" t="e">
        <f t="shared" si="7"/>
        <v>#N/A</v>
      </c>
      <c r="CJ9" s="378" t="e">
        <f t="shared" si="8"/>
        <v>#N/A</v>
      </c>
      <c r="CK9" s="378" t="e">
        <f t="shared" si="9"/>
        <v>#N/A</v>
      </c>
      <c r="CL9" s="378" t="e">
        <f t="shared" si="10"/>
        <v>#N/A</v>
      </c>
      <c r="CM9" s="378" t="e">
        <f t="shared" si="11"/>
        <v>#N/A</v>
      </c>
      <c r="CN9" s="378" t="e">
        <f t="shared" si="12"/>
        <v>#N/A</v>
      </c>
      <c r="CO9" s="378" t="e">
        <f t="shared" si="13"/>
        <v>#N/A</v>
      </c>
      <c r="CP9" s="378" t="e">
        <f t="shared" si="14"/>
        <v>#N/A</v>
      </c>
      <c r="CQ9" s="378" t="e">
        <f t="shared" si="15"/>
        <v>#N/A</v>
      </c>
      <c r="CR9" s="354" t="e">
        <f t="shared" ref="CR9:CR14" si="69">SUM(CH9:CQ9)</f>
        <v>#N/A</v>
      </c>
      <c r="CS9" s="379" t="e">
        <f>(HLOOKUP($AI9,'Inflation Adjustments'!$B$3:$BT$4,2,TRUE))*CH9</f>
        <v>#N/A</v>
      </c>
      <c r="CT9" s="379" t="e">
        <f>(HLOOKUP($AI9,'Inflation Adjustments'!$B$3:$BT$4,2,TRUE))*CI9</f>
        <v>#N/A</v>
      </c>
      <c r="CU9" s="379" t="e">
        <f>(HLOOKUP($AI9,'Inflation Adjustments'!$B$3:$BT$4,2,TRUE))*CJ9</f>
        <v>#N/A</v>
      </c>
      <c r="CV9" s="379" t="e">
        <f>(HLOOKUP($AI9,'Inflation Adjustments'!$B$3:$BT$4,2,TRUE))*CK9</f>
        <v>#N/A</v>
      </c>
      <c r="CW9" s="379" t="e">
        <f>(HLOOKUP($AI9,'Inflation Adjustments'!$B$3:$BT$4,2,TRUE))*CL9</f>
        <v>#N/A</v>
      </c>
      <c r="CX9" s="379" t="e">
        <f>(HLOOKUP($AI9,'Inflation Adjustments'!$B$3:$BT$4,2,TRUE))*CM9</f>
        <v>#N/A</v>
      </c>
      <c r="CY9" s="379" t="e">
        <f>(HLOOKUP($AI9,'Inflation Adjustments'!$B$3:$BT$4,2,TRUE))*CN9</f>
        <v>#N/A</v>
      </c>
      <c r="CZ9" s="379" t="e">
        <f>(HLOOKUP($AI9,'Inflation Adjustments'!$B$3:$BT$4,2,TRUE))*CO9</f>
        <v>#N/A</v>
      </c>
      <c r="DA9" s="379" t="e">
        <f>(HLOOKUP($AI9,'Inflation Adjustments'!$B$3:$BT$4,2,TRUE))*CP9</f>
        <v>#N/A</v>
      </c>
      <c r="DB9" s="379" t="e">
        <f>(HLOOKUP($AI9,'Inflation Adjustments'!$B$3:$BT$4,2,TRUE))*CQ9</f>
        <v>#N/A</v>
      </c>
      <c r="DC9" s="379" t="e">
        <f t="shared" si="17"/>
        <v>#N/A</v>
      </c>
      <c r="DD9" s="354">
        <f t="shared" si="18"/>
        <v>2022</v>
      </c>
      <c r="DE9" s="378" t="e">
        <f t="shared" si="19"/>
        <v>#N/A</v>
      </c>
      <c r="DF9" s="378" t="e">
        <f t="shared" si="20"/>
        <v>#N/A</v>
      </c>
      <c r="DG9" s="378" t="e">
        <f t="shared" si="21"/>
        <v>#N/A</v>
      </c>
      <c r="DH9" s="378" t="e">
        <f t="shared" si="22"/>
        <v>#N/A</v>
      </c>
      <c r="DI9" s="378" t="e">
        <f t="shared" si="23"/>
        <v>#N/A</v>
      </c>
      <c r="DJ9" s="378" t="e">
        <f t="shared" si="24"/>
        <v>#N/A</v>
      </c>
      <c r="DK9" s="378" t="e">
        <f t="shared" si="25"/>
        <v>#N/A</v>
      </c>
      <c r="DL9" s="378" t="e">
        <f t="shared" si="26"/>
        <v>#N/A</v>
      </c>
      <c r="DM9" s="378" t="e">
        <f t="shared" si="27"/>
        <v>#N/A</v>
      </c>
      <c r="DN9" s="378" t="e">
        <f t="shared" si="28"/>
        <v>#N/A</v>
      </c>
      <c r="DO9" s="380" t="e">
        <f t="shared" si="29"/>
        <v>#N/A</v>
      </c>
      <c r="DP9" s="380" t="e">
        <f t="shared" si="30"/>
        <v>#N/A</v>
      </c>
      <c r="DQ9" s="380" t="e">
        <f t="shared" si="31"/>
        <v>#N/A</v>
      </c>
      <c r="DR9" s="380" t="e">
        <f t="shared" si="32"/>
        <v>#N/A</v>
      </c>
      <c r="DS9" s="380" t="e">
        <f t="shared" si="33"/>
        <v>#N/A</v>
      </c>
      <c r="DT9" s="380" t="e">
        <f t="shared" si="34"/>
        <v>#N/A</v>
      </c>
      <c r="DU9" s="380" t="e">
        <f t="shared" si="35"/>
        <v>#N/A</v>
      </c>
      <c r="DV9" s="380" t="e">
        <f t="shared" si="36"/>
        <v>#N/A</v>
      </c>
      <c r="DW9" s="380" t="e">
        <f t="shared" si="37"/>
        <v>#N/A</v>
      </c>
      <c r="DX9" s="380" t="e">
        <f t="shared" si="38"/>
        <v>#N/A</v>
      </c>
      <c r="DY9" s="380" t="e">
        <f t="shared" ref="DY9:DY14" si="70">SUM(DO9:DX9)</f>
        <v>#N/A</v>
      </c>
      <c r="DZ9" s="378" t="e">
        <f t="shared" si="40"/>
        <v>#N/A</v>
      </c>
      <c r="EA9" s="378" t="e">
        <f t="shared" si="41"/>
        <v>#N/A</v>
      </c>
      <c r="EB9" s="378" t="e">
        <f t="shared" si="42"/>
        <v>#N/A</v>
      </c>
      <c r="EC9" s="378" t="e">
        <f t="shared" si="43"/>
        <v>#N/A</v>
      </c>
      <c r="ED9" s="378" t="e">
        <f t="shared" si="44"/>
        <v>#N/A</v>
      </c>
      <c r="EE9" s="378" t="e">
        <f t="shared" si="45"/>
        <v>#N/A</v>
      </c>
      <c r="EF9" s="378" t="e">
        <f t="shared" si="46"/>
        <v>#N/A</v>
      </c>
      <c r="EG9" s="378" t="e">
        <f t="shared" si="47"/>
        <v>#N/A</v>
      </c>
      <c r="EH9" s="378" t="e">
        <f t="shared" si="48"/>
        <v>#N/A</v>
      </c>
      <c r="EI9" s="378" t="e">
        <f t="shared" si="49"/>
        <v>#N/A</v>
      </c>
      <c r="EJ9" s="354" t="e">
        <f t="shared" si="50"/>
        <v>#N/A</v>
      </c>
      <c r="EK9" s="380" t="e">
        <f t="shared" si="51"/>
        <v>#N/A</v>
      </c>
      <c r="EL9" s="380" t="e">
        <f t="shared" si="52"/>
        <v>#N/A</v>
      </c>
      <c r="EM9" s="380" t="e">
        <f t="shared" si="53"/>
        <v>#N/A</v>
      </c>
      <c r="EN9" s="380" t="e">
        <f t="shared" si="54"/>
        <v>#N/A</v>
      </c>
      <c r="EO9" s="380" t="e">
        <f t="shared" si="55"/>
        <v>#N/A</v>
      </c>
      <c r="EP9" s="380" t="e">
        <f t="shared" si="56"/>
        <v>#N/A</v>
      </c>
      <c r="EQ9" s="380" t="e">
        <f t="shared" si="57"/>
        <v>#N/A</v>
      </c>
      <c r="ER9" s="380" t="e">
        <f t="shared" si="58"/>
        <v>#N/A</v>
      </c>
      <c r="ES9" s="380" t="e">
        <f t="shared" si="59"/>
        <v>#N/A</v>
      </c>
      <c r="ET9" s="380" t="e">
        <f t="shared" si="60"/>
        <v>#N/A</v>
      </c>
      <c r="EU9" s="379" t="e">
        <f t="shared" si="61"/>
        <v>#N/A</v>
      </c>
      <c r="EV9" s="382"/>
      <c r="EW9" s="382"/>
      <c r="EX9" s="382"/>
      <c r="EY9" s="382"/>
      <c r="EZ9" s="382"/>
      <c r="FA9" s="382"/>
      <c r="FB9" s="382"/>
      <c r="FD9" s="582" t="s">
        <v>1612</v>
      </c>
      <c r="FE9" s="582"/>
      <c r="FF9" s="582"/>
      <c r="FG9" s="582"/>
      <c r="FH9" s="582"/>
      <c r="FI9" s="582"/>
    </row>
    <row r="10" spans="1:165" ht="35" customHeight="1" x14ac:dyDescent="0.3">
      <c r="A10" s="330"/>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7"/>
      <c r="AN10" s="318"/>
      <c r="AO10" s="511" t="e">
        <f t="shared" si="65"/>
        <v>#N/A</v>
      </c>
      <c r="AP10" s="511" t="e">
        <f t="shared" si="66"/>
        <v>#N/A</v>
      </c>
      <c r="AQ10" s="511" t="e">
        <f t="shared" si="67"/>
        <v>#N/A</v>
      </c>
      <c r="AR10" s="511" t="e">
        <f t="shared" si="68"/>
        <v>#N/A</v>
      </c>
      <c r="AS10" s="511" t="e">
        <f>HLOOKUP($C$1,'Inflation Adjustments'!$BI$3:$BT$4,2)*CR10</f>
        <v>#N/A</v>
      </c>
      <c r="AT10" s="511">
        <f>IF(BU10="In Service",'Maintenace Cost Assumptions'!$B$3*AS10,0)</f>
        <v>0</v>
      </c>
      <c r="AU10" s="318"/>
      <c r="AV10" s="318"/>
      <c r="AW10" s="318"/>
      <c r="AX10" s="318"/>
      <c r="AY10" s="318"/>
      <c r="AZ10" s="318"/>
      <c r="BA10" s="318"/>
      <c r="BB10" s="318"/>
      <c r="BC10" s="318"/>
      <c r="BD10" s="318"/>
      <c r="BE10" s="318"/>
      <c r="BF10" s="318"/>
      <c r="BG10" s="332">
        <f>(AU10*'Condition rating weights'!H$8+AV10*'Condition rating weights'!I$8+AW10*'Condition rating weights'!J$8+AX10*'Condition rating weights'!K$8+AY10*'Condition rating weights'!L$8+AZ10*'Condition rating weights'!M$8+BA10*'Condition rating weights'!N$8+BB10*'Condition rating weights'!O$8+BC10*'Condition rating weights'!P$8+BD10*'Condition rating weights'!Q$8+BE10*'Condition rating weights'!R$8+BF10*'Condition rating weights'!S$8)/100</f>
        <v>0</v>
      </c>
      <c r="BH10" s="333"/>
      <c r="BI10" s="333"/>
      <c r="BJ10" s="333"/>
      <c r="BK10" s="333"/>
      <c r="BL10" s="333"/>
      <c r="BM10" s="333"/>
      <c r="BN10" s="333"/>
      <c r="BO10" s="333"/>
      <c r="BP10" s="333"/>
      <c r="BQ10" s="333"/>
      <c r="BR10" s="333"/>
      <c r="BS10" s="333"/>
      <c r="BT10" s="334"/>
      <c r="BU10" s="335"/>
      <c r="BV10" s="255"/>
      <c r="BY10" s="376" t="s">
        <v>166</v>
      </c>
      <c r="BZ10" s="373">
        <v>100</v>
      </c>
      <c r="CA10" s="373">
        <v>150</v>
      </c>
      <c r="CB10" s="373">
        <v>300</v>
      </c>
      <c r="CC10" s="373">
        <v>0</v>
      </c>
      <c r="CD10" s="373">
        <v>20</v>
      </c>
      <c r="CE10" s="373">
        <v>30</v>
      </c>
      <c r="CF10" s="373">
        <v>40</v>
      </c>
      <c r="CG10" s="373">
        <v>20</v>
      </c>
      <c r="CH10" s="378" t="e">
        <f t="shared" si="6"/>
        <v>#N/A</v>
      </c>
      <c r="CI10" s="378" t="e">
        <f t="shared" si="7"/>
        <v>#N/A</v>
      </c>
      <c r="CJ10" s="378" t="e">
        <f t="shared" si="8"/>
        <v>#N/A</v>
      </c>
      <c r="CK10" s="378" t="e">
        <f t="shared" si="9"/>
        <v>#N/A</v>
      </c>
      <c r="CL10" s="378" t="e">
        <f t="shared" si="10"/>
        <v>#N/A</v>
      </c>
      <c r="CM10" s="378" t="e">
        <f t="shared" si="11"/>
        <v>#N/A</v>
      </c>
      <c r="CN10" s="378" t="e">
        <f t="shared" si="12"/>
        <v>#N/A</v>
      </c>
      <c r="CO10" s="378" t="e">
        <f t="shared" si="13"/>
        <v>#N/A</v>
      </c>
      <c r="CP10" s="378" t="e">
        <f t="shared" si="14"/>
        <v>#N/A</v>
      </c>
      <c r="CQ10" s="378" t="e">
        <f t="shared" si="15"/>
        <v>#N/A</v>
      </c>
      <c r="CR10" s="354" t="e">
        <f t="shared" si="69"/>
        <v>#N/A</v>
      </c>
      <c r="CS10" s="379" t="e">
        <f>(HLOOKUP($AI10,'Inflation Adjustments'!$B$3:$BT$4,2,TRUE))*CH10</f>
        <v>#N/A</v>
      </c>
      <c r="CT10" s="379" t="e">
        <f>(HLOOKUP($AI10,'Inflation Adjustments'!$B$3:$BT$4,2,TRUE))*CI10</f>
        <v>#N/A</v>
      </c>
      <c r="CU10" s="379" t="e">
        <f>(HLOOKUP($AI10,'Inflation Adjustments'!$B$3:$BT$4,2,TRUE))*CJ10</f>
        <v>#N/A</v>
      </c>
      <c r="CV10" s="379" t="e">
        <f>(HLOOKUP($AI10,'Inflation Adjustments'!$B$3:$BT$4,2,TRUE))*CK10</f>
        <v>#N/A</v>
      </c>
      <c r="CW10" s="379" t="e">
        <f>(HLOOKUP($AI10,'Inflation Adjustments'!$B$3:$BT$4,2,TRUE))*CL10</f>
        <v>#N/A</v>
      </c>
      <c r="CX10" s="379" t="e">
        <f>(HLOOKUP($AI10,'Inflation Adjustments'!$B$3:$BT$4,2,TRUE))*CM10</f>
        <v>#N/A</v>
      </c>
      <c r="CY10" s="379" t="e">
        <f>(HLOOKUP($AI10,'Inflation Adjustments'!$B$3:$BT$4,2,TRUE))*CN10</f>
        <v>#N/A</v>
      </c>
      <c r="CZ10" s="379" t="e">
        <f>(HLOOKUP($AI10,'Inflation Adjustments'!$B$3:$BT$4,2,TRUE))*CO10</f>
        <v>#N/A</v>
      </c>
      <c r="DA10" s="379" t="e">
        <f>(HLOOKUP($AI10,'Inflation Adjustments'!$B$3:$BT$4,2,TRUE))*CP10</f>
        <v>#N/A</v>
      </c>
      <c r="DB10" s="379" t="e">
        <f>(HLOOKUP($AI10,'Inflation Adjustments'!$B$3:$BT$4,2,TRUE))*CQ10</f>
        <v>#N/A</v>
      </c>
      <c r="DC10" s="379" t="e">
        <f t="shared" si="17"/>
        <v>#N/A</v>
      </c>
      <c r="DD10" s="354">
        <f t="shared" si="18"/>
        <v>2022</v>
      </c>
      <c r="DE10" s="378" t="e">
        <f t="shared" si="19"/>
        <v>#N/A</v>
      </c>
      <c r="DF10" s="378" t="e">
        <f t="shared" si="20"/>
        <v>#N/A</v>
      </c>
      <c r="DG10" s="378" t="e">
        <f t="shared" si="21"/>
        <v>#N/A</v>
      </c>
      <c r="DH10" s="378" t="e">
        <f t="shared" si="22"/>
        <v>#N/A</v>
      </c>
      <c r="DI10" s="378" t="e">
        <f t="shared" si="23"/>
        <v>#N/A</v>
      </c>
      <c r="DJ10" s="378" t="e">
        <f t="shared" si="24"/>
        <v>#N/A</v>
      </c>
      <c r="DK10" s="378" t="e">
        <f t="shared" si="25"/>
        <v>#N/A</v>
      </c>
      <c r="DL10" s="378" t="e">
        <f t="shared" si="26"/>
        <v>#N/A</v>
      </c>
      <c r="DM10" s="378" t="e">
        <f t="shared" si="27"/>
        <v>#N/A</v>
      </c>
      <c r="DN10" s="378" t="e">
        <f t="shared" si="28"/>
        <v>#N/A</v>
      </c>
      <c r="DO10" s="380" t="e">
        <f t="shared" si="29"/>
        <v>#N/A</v>
      </c>
      <c r="DP10" s="380" t="e">
        <f t="shared" si="30"/>
        <v>#N/A</v>
      </c>
      <c r="DQ10" s="380" t="e">
        <f t="shared" si="31"/>
        <v>#N/A</v>
      </c>
      <c r="DR10" s="380" t="e">
        <f t="shared" si="32"/>
        <v>#N/A</v>
      </c>
      <c r="DS10" s="380" t="e">
        <f t="shared" si="33"/>
        <v>#N/A</v>
      </c>
      <c r="DT10" s="380" t="e">
        <f t="shared" si="34"/>
        <v>#N/A</v>
      </c>
      <c r="DU10" s="380" t="e">
        <f t="shared" si="35"/>
        <v>#N/A</v>
      </c>
      <c r="DV10" s="380" t="e">
        <f t="shared" si="36"/>
        <v>#N/A</v>
      </c>
      <c r="DW10" s="380" t="e">
        <f t="shared" si="37"/>
        <v>#N/A</v>
      </c>
      <c r="DX10" s="380" t="e">
        <f t="shared" si="38"/>
        <v>#N/A</v>
      </c>
      <c r="DY10" s="380" t="e">
        <f t="shared" si="70"/>
        <v>#N/A</v>
      </c>
      <c r="DZ10" s="378" t="e">
        <f t="shared" si="40"/>
        <v>#N/A</v>
      </c>
      <c r="EA10" s="378" t="e">
        <f t="shared" si="41"/>
        <v>#N/A</v>
      </c>
      <c r="EB10" s="378" t="e">
        <f t="shared" si="42"/>
        <v>#N/A</v>
      </c>
      <c r="EC10" s="378" t="e">
        <f t="shared" si="43"/>
        <v>#N/A</v>
      </c>
      <c r="ED10" s="378" t="e">
        <f t="shared" si="44"/>
        <v>#N/A</v>
      </c>
      <c r="EE10" s="378" t="e">
        <f t="shared" si="45"/>
        <v>#N/A</v>
      </c>
      <c r="EF10" s="378" t="e">
        <f t="shared" si="46"/>
        <v>#N/A</v>
      </c>
      <c r="EG10" s="378" t="e">
        <f t="shared" si="47"/>
        <v>#N/A</v>
      </c>
      <c r="EH10" s="378" t="e">
        <f t="shared" si="48"/>
        <v>#N/A</v>
      </c>
      <c r="EI10" s="378" t="e">
        <f t="shared" si="49"/>
        <v>#N/A</v>
      </c>
      <c r="EJ10" s="354" t="e">
        <f t="shared" si="50"/>
        <v>#N/A</v>
      </c>
      <c r="EK10" s="380" t="e">
        <f t="shared" si="51"/>
        <v>#N/A</v>
      </c>
      <c r="EL10" s="380" t="e">
        <f t="shared" si="52"/>
        <v>#N/A</v>
      </c>
      <c r="EM10" s="380" t="e">
        <f t="shared" si="53"/>
        <v>#N/A</v>
      </c>
      <c r="EN10" s="380" t="e">
        <f t="shared" si="54"/>
        <v>#N/A</v>
      </c>
      <c r="EO10" s="380" t="e">
        <f t="shared" si="55"/>
        <v>#N/A</v>
      </c>
      <c r="EP10" s="380" t="e">
        <f t="shared" si="56"/>
        <v>#N/A</v>
      </c>
      <c r="EQ10" s="380" t="e">
        <f t="shared" si="57"/>
        <v>#N/A</v>
      </c>
      <c r="ER10" s="380" t="e">
        <f t="shared" si="58"/>
        <v>#N/A</v>
      </c>
      <c r="ES10" s="380" t="e">
        <f t="shared" si="59"/>
        <v>#N/A</v>
      </c>
      <c r="ET10" s="380" t="e">
        <f t="shared" si="60"/>
        <v>#N/A</v>
      </c>
      <c r="EU10" s="379" t="e">
        <f t="shared" si="61"/>
        <v>#N/A</v>
      </c>
      <c r="EV10" s="382"/>
      <c r="EW10" s="382"/>
      <c r="EX10" s="382"/>
      <c r="EY10" s="382"/>
      <c r="EZ10" s="382"/>
      <c r="FA10" s="382"/>
      <c r="FB10" s="382"/>
      <c r="FD10" s="582" t="s">
        <v>1612</v>
      </c>
      <c r="FE10" s="582"/>
      <c r="FF10" s="582"/>
      <c r="FG10" s="582"/>
      <c r="FH10" s="582"/>
      <c r="FI10" s="582"/>
    </row>
    <row r="11" spans="1:165" ht="35" customHeight="1" x14ac:dyDescent="0.3">
      <c r="A11" s="330"/>
      <c r="B11" s="318"/>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7"/>
      <c r="AN11" s="318"/>
      <c r="AO11" s="511" t="e">
        <f t="shared" si="65"/>
        <v>#N/A</v>
      </c>
      <c r="AP11" s="511" t="e">
        <f t="shared" si="66"/>
        <v>#N/A</v>
      </c>
      <c r="AQ11" s="511" t="e">
        <f t="shared" si="67"/>
        <v>#N/A</v>
      </c>
      <c r="AR11" s="511" t="e">
        <f t="shared" si="68"/>
        <v>#N/A</v>
      </c>
      <c r="AS11" s="511" t="e">
        <f>HLOOKUP($C$1,'Inflation Adjustments'!$BI$3:$BT$4,2)*CR11</f>
        <v>#N/A</v>
      </c>
      <c r="AT11" s="511">
        <f>IF(BU11="In Service",'Maintenace Cost Assumptions'!$B$3*AS11,0)</f>
        <v>0</v>
      </c>
      <c r="AU11" s="318"/>
      <c r="AV11" s="318"/>
      <c r="AW11" s="318"/>
      <c r="AX11" s="318"/>
      <c r="AY11" s="318"/>
      <c r="AZ11" s="318"/>
      <c r="BA11" s="318"/>
      <c r="BB11" s="318"/>
      <c r="BC11" s="318"/>
      <c r="BD11" s="318"/>
      <c r="BE11" s="318"/>
      <c r="BF11" s="318"/>
      <c r="BG11" s="332">
        <f>(AU11*'Condition rating weights'!H$8+AV11*'Condition rating weights'!I$8+AW11*'Condition rating weights'!J$8+AX11*'Condition rating weights'!K$8+AY11*'Condition rating weights'!L$8+AZ11*'Condition rating weights'!M$8+BA11*'Condition rating weights'!N$8+BB11*'Condition rating weights'!O$8+BC11*'Condition rating weights'!P$8+BD11*'Condition rating weights'!Q$8+BE11*'Condition rating weights'!R$8+BF11*'Condition rating weights'!S$8)/100</f>
        <v>0</v>
      </c>
      <c r="BH11" s="333"/>
      <c r="BI11" s="333"/>
      <c r="BJ11" s="333"/>
      <c r="BK11" s="333"/>
      <c r="BL11" s="333"/>
      <c r="BM11" s="333"/>
      <c r="BN11" s="333"/>
      <c r="BO11" s="333"/>
      <c r="BP11" s="333"/>
      <c r="BQ11" s="333"/>
      <c r="BR11" s="333"/>
      <c r="BS11" s="333"/>
      <c r="BT11" s="334"/>
      <c r="BU11" s="335"/>
      <c r="BV11" s="255"/>
      <c r="BY11" s="376" t="s">
        <v>167</v>
      </c>
      <c r="BZ11" s="373">
        <v>80</v>
      </c>
      <c r="CA11" s="373">
        <v>100</v>
      </c>
      <c r="CB11" s="373">
        <v>150</v>
      </c>
      <c r="CC11" s="373">
        <v>0</v>
      </c>
      <c r="CD11" s="373">
        <v>10</v>
      </c>
      <c r="CE11" s="373">
        <v>20</v>
      </c>
      <c r="CF11" s="373">
        <v>30</v>
      </c>
      <c r="CG11" s="373">
        <v>10</v>
      </c>
      <c r="CH11" s="378" t="e">
        <f t="shared" si="6"/>
        <v>#N/A</v>
      </c>
      <c r="CI11" s="378" t="e">
        <f t="shared" si="7"/>
        <v>#N/A</v>
      </c>
      <c r="CJ11" s="378" t="e">
        <f t="shared" si="8"/>
        <v>#N/A</v>
      </c>
      <c r="CK11" s="378" t="e">
        <f t="shared" si="9"/>
        <v>#N/A</v>
      </c>
      <c r="CL11" s="378" t="e">
        <f t="shared" si="10"/>
        <v>#N/A</v>
      </c>
      <c r="CM11" s="378" t="e">
        <f t="shared" si="11"/>
        <v>#N/A</v>
      </c>
      <c r="CN11" s="378" t="e">
        <f t="shared" si="12"/>
        <v>#N/A</v>
      </c>
      <c r="CO11" s="378" t="e">
        <f t="shared" si="13"/>
        <v>#N/A</v>
      </c>
      <c r="CP11" s="378" t="e">
        <f t="shared" si="14"/>
        <v>#N/A</v>
      </c>
      <c r="CQ11" s="378" t="e">
        <f t="shared" si="15"/>
        <v>#N/A</v>
      </c>
      <c r="CR11" s="354" t="e">
        <f t="shared" si="69"/>
        <v>#N/A</v>
      </c>
      <c r="CS11" s="379" t="e">
        <f>(HLOOKUP($AI11,'Inflation Adjustments'!$B$3:$BT$4,2,TRUE))*CH11</f>
        <v>#N/A</v>
      </c>
      <c r="CT11" s="379" t="e">
        <f>(HLOOKUP($AI11,'Inflation Adjustments'!$B$3:$BT$4,2,TRUE))*CI11</f>
        <v>#N/A</v>
      </c>
      <c r="CU11" s="379" t="e">
        <f>(HLOOKUP($AI11,'Inflation Adjustments'!$B$3:$BT$4,2,TRUE))*CJ11</f>
        <v>#N/A</v>
      </c>
      <c r="CV11" s="379" t="e">
        <f>(HLOOKUP($AI11,'Inflation Adjustments'!$B$3:$BT$4,2,TRUE))*CK11</f>
        <v>#N/A</v>
      </c>
      <c r="CW11" s="379" t="e">
        <f>(HLOOKUP($AI11,'Inflation Adjustments'!$B$3:$BT$4,2,TRUE))*CL11</f>
        <v>#N/A</v>
      </c>
      <c r="CX11" s="379" t="e">
        <f>(HLOOKUP($AI11,'Inflation Adjustments'!$B$3:$BT$4,2,TRUE))*CM11</f>
        <v>#N/A</v>
      </c>
      <c r="CY11" s="379" t="e">
        <f>(HLOOKUP($AI11,'Inflation Adjustments'!$B$3:$BT$4,2,TRUE))*CN11</f>
        <v>#N/A</v>
      </c>
      <c r="CZ11" s="379" t="e">
        <f>(HLOOKUP($AI11,'Inflation Adjustments'!$B$3:$BT$4,2,TRUE))*CO11</f>
        <v>#N/A</v>
      </c>
      <c r="DA11" s="379" t="e">
        <f>(HLOOKUP($AI11,'Inflation Adjustments'!$B$3:$BT$4,2,TRUE))*CP11</f>
        <v>#N/A</v>
      </c>
      <c r="DB11" s="379" t="e">
        <f>(HLOOKUP($AI11,'Inflation Adjustments'!$B$3:$BT$4,2,TRUE))*CQ11</f>
        <v>#N/A</v>
      </c>
      <c r="DC11" s="379" t="e">
        <f t="shared" si="17"/>
        <v>#N/A</v>
      </c>
      <c r="DD11" s="354">
        <f t="shared" si="18"/>
        <v>2022</v>
      </c>
      <c r="DE11" s="378" t="e">
        <f t="shared" si="19"/>
        <v>#N/A</v>
      </c>
      <c r="DF11" s="378" t="e">
        <f t="shared" si="20"/>
        <v>#N/A</v>
      </c>
      <c r="DG11" s="378" t="e">
        <f t="shared" si="21"/>
        <v>#N/A</v>
      </c>
      <c r="DH11" s="378" t="e">
        <f t="shared" si="22"/>
        <v>#N/A</v>
      </c>
      <c r="DI11" s="378" t="e">
        <f t="shared" si="23"/>
        <v>#N/A</v>
      </c>
      <c r="DJ11" s="378" t="e">
        <f t="shared" si="24"/>
        <v>#N/A</v>
      </c>
      <c r="DK11" s="378" t="e">
        <f t="shared" si="25"/>
        <v>#N/A</v>
      </c>
      <c r="DL11" s="378" t="e">
        <f t="shared" si="26"/>
        <v>#N/A</v>
      </c>
      <c r="DM11" s="378" t="e">
        <f t="shared" si="27"/>
        <v>#N/A</v>
      </c>
      <c r="DN11" s="378" t="e">
        <f t="shared" si="28"/>
        <v>#N/A</v>
      </c>
      <c r="DO11" s="380" t="e">
        <f t="shared" si="29"/>
        <v>#N/A</v>
      </c>
      <c r="DP11" s="380" t="e">
        <f t="shared" si="30"/>
        <v>#N/A</v>
      </c>
      <c r="DQ11" s="380" t="e">
        <f t="shared" si="31"/>
        <v>#N/A</v>
      </c>
      <c r="DR11" s="380" t="e">
        <f t="shared" si="32"/>
        <v>#N/A</v>
      </c>
      <c r="DS11" s="380" t="e">
        <f t="shared" si="33"/>
        <v>#N/A</v>
      </c>
      <c r="DT11" s="380" t="e">
        <f t="shared" si="34"/>
        <v>#N/A</v>
      </c>
      <c r="DU11" s="380" t="e">
        <f t="shared" si="35"/>
        <v>#N/A</v>
      </c>
      <c r="DV11" s="380" t="e">
        <f t="shared" si="36"/>
        <v>#N/A</v>
      </c>
      <c r="DW11" s="380" t="e">
        <f t="shared" si="37"/>
        <v>#N/A</v>
      </c>
      <c r="DX11" s="380" t="e">
        <f t="shared" si="38"/>
        <v>#N/A</v>
      </c>
      <c r="DY11" s="380" t="e">
        <f t="shared" si="70"/>
        <v>#N/A</v>
      </c>
      <c r="DZ11" s="378" t="e">
        <f t="shared" si="40"/>
        <v>#N/A</v>
      </c>
      <c r="EA11" s="378" t="e">
        <f t="shared" si="41"/>
        <v>#N/A</v>
      </c>
      <c r="EB11" s="378" t="e">
        <f t="shared" si="42"/>
        <v>#N/A</v>
      </c>
      <c r="EC11" s="378" t="e">
        <f t="shared" si="43"/>
        <v>#N/A</v>
      </c>
      <c r="ED11" s="378" t="e">
        <f t="shared" si="44"/>
        <v>#N/A</v>
      </c>
      <c r="EE11" s="378" t="e">
        <f t="shared" si="45"/>
        <v>#N/A</v>
      </c>
      <c r="EF11" s="378" t="e">
        <f t="shared" si="46"/>
        <v>#N/A</v>
      </c>
      <c r="EG11" s="378" t="e">
        <f t="shared" si="47"/>
        <v>#N/A</v>
      </c>
      <c r="EH11" s="378" t="e">
        <f t="shared" si="48"/>
        <v>#N/A</v>
      </c>
      <c r="EI11" s="378" t="e">
        <f t="shared" si="49"/>
        <v>#N/A</v>
      </c>
      <c r="EJ11" s="354" t="e">
        <f t="shared" si="50"/>
        <v>#N/A</v>
      </c>
      <c r="EK11" s="380" t="e">
        <f t="shared" si="51"/>
        <v>#N/A</v>
      </c>
      <c r="EL11" s="380" t="e">
        <f t="shared" si="52"/>
        <v>#N/A</v>
      </c>
      <c r="EM11" s="380" t="e">
        <f t="shared" si="53"/>
        <v>#N/A</v>
      </c>
      <c r="EN11" s="380" t="e">
        <f t="shared" si="54"/>
        <v>#N/A</v>
      </c>
      <c r="EO11" s="380" t="e">
        <f t="shared" si="55"/>
        <v>#N/A</v>
      </c>
      <c r="EP11" s="380" t="e">
        <f t="shared" si="56"/>
        <v>#N/A</v>
      </c>
      <c r="EQ11" s="380" t="e">
        <f t="shared" si="57"/>
        <v>#N/A</v>
      </c>
      <c r="ER11" s="380" t="e">
        <f t="shared" si="58"/>
        <v>#N/A</v>
      </c>
      <c r="ES11" s="380" t="e">
        <f t="shared" si="59"/>
        <v>#N/A</v>
      </c>
      <c r="ET11" s="380" t="e">
        <f t="shared" si="60"/>
        <v>#N/A</v>
      </c>
      <c r="EU11" s="379" t="e">
        <f t="shared" si="61"/>
        <v>#N/A</v>
      </c>
      <c r="EV11" s="382"/>
      <c r="EW11" s="382"/>
      <c r="EX11" s="382"/>
      <c r="EY11" s="382"/>
      <c r="EZ11" s="382"/>
      <c r="FA11" s="382"/>
      <c r="FB11" s="382"/>
      <c r="FD11" s="582" t="s">
        <v>1612</v>
      </c>
      <c r="FE11" s="582"/>
      <c r="FF11" s="582"/>
      <c r="FG11" s="582"/>
      <c r="FH11" s="582"/>
      <c r="FI11" s="582"/>
    </row>
    <row r="12" spans="1:165" ht="35" customHeight="1" x14ac:dyDescent="0.3">
      <c r="A12" s="330"/>
      <c r="B12" s="318"/>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7"/>
      <c r="AN12" s="318"/>
      <c r="AO12" s="511" t="e">
        <f t="shared" si="65"/>
        <v>#N/A</v>
      </c>
      <c r="AP12" s="511" t="e">
        <f t="shared" si="66"/>
        <v>#N/A</v>
      </c>
      <c r="AQ12" s="511" t="e">
        <f t="shared" si="67"/>
        <v>#N/A</v>
      </c>
      <c r="AR12" s="511" t="e">
        <f t="shared" si="68"/>
        <v>#N/A</v>
      </c>
      <c r="AS12" s="511" t="e">
        <f>HLOOKUP($C$1,'Inflation Adjustments'!$BI$3:$BT$4,2)*CR12</f>
        <v>#N/A</v>
      </c>
      <c r="AT12" s="511">
        <f>IF(BU12="In Service",'Maintenace Cost Assumptions'!$B$3*AS12,0)</f>
        <v>0</v>
      </c>
      <c r="AU12" s="318"/>
      <c r="AV12" s="318"/>
      <c r="AW12" s="318"/>
      <c r="AX12" s="318"/>
      <c r="AY12" s="318"/>
      <c r="AZ12" s="318"/>
      <c r="BA12" s="318"/>
      <c r="BB12" s="318"/>
      <c r="BC12" s="318"/>
      <c r="BD12" s="318"/>
      <c r="BE12" s="318"/>
      <c r="BF12" s="318"/>
      <c r="BG12" s="332">
        <f>(AU12*'Condition rating weights'!H$8+AV12*'Condition rating weights'!I$8+AW12*'Condition rating weights'!J$8+AX12*'Condition rating weights'!K$8+AY12*'Condition rating weights'!L$8+AZ12*'Condition rating weights'!M$8+BA12*'Condition rating weights'!N$8+BB12*'Condition rating weights'!O$8+BC12*'Condition rating weights'!P$8+BD12*'Condition rating weights'!Q$8+BE12*'Condition rating weights'!R$8+BF12*'Condition rating weights'!S$8)/100</f>
        <v>0</v>
      </c>
      <c r="BH12" s="333"/>
      <c r="BI12" s="333"/>
      <c r="BJ12" s="333"/>
      <c r="BK12" s="333"/>
      <c r="BL12" s="333"/>
      <c r="BM12" s="333"/>
      <c r="BN12" s="333"/>
      <c r="BO12" s="333"/>
      <c r="BP12" s="333"/>
      <c r="BQ12" s="333"/>
      <c r="BR12" s="333"/>
      <c r="BS12" s="333"/>
      <c r="BT12" s="334"/>
      <c r="BU12" s="335"/>
      <c r="BV12" s="255"/>
      <c r="BY12" s="376" t="str">
        <f>'GRC and TUL Assumptions'!A12</f>
        <v>Services Electrical</v>
      </c>
      <c r="BZ12" s="373">
        <f>'GRC and TUL Assumptions'!C12</f>
        <v>80</v>
      </c>
      <c r="CA12" s="373">
        <f>'GRC and TUL Assumptions'!D12</f>
        <v>100</v>
      </c>
      <c r="CB12" s="373">
        <f>'GRC and TUL Assumptions'!E12</f>
        <v>150</v>
      </c>
      <c r="CC12" s="373">
        <v>0</v>
      </c>
      <c r="CD12" s="373">
        <f>'GRC and TUL Assumptions'!F12</f>
        <v>20</v>
      </c>
      <c r="CE12" s="373">
        <f>'GRC and TUL Assumptions'!G12</f>
        <v>30</v>
      </c>
      <c r="CF12" s="373">
        <f>'GRC and TUL Assumptions'!H12</f>
        <v>40</v>
      </c>
      <c r="CG12" s="373">
        <f t="shared" si="64"/>
        <v>20</v>
      </c>
      <c r="CH12" s="378" t="e">
        <f t="shared" si="6"/>
        <v>#N/A</v>
      </c>
      <c r="CI12" s="378" t="e">
        <f t="shared" si="7"/>
        <v>#N/A</v>
      </c>
      <c r="CJ12" s="378" t="e">
        <f t="shared" si="8"/>
        <v>#N/A</v>
      </c>
      <c r="CK12" s="378" t="e">
        <f t="shared" si="9"/>
        <v>#N/A</v>
      </c>
      <c r="CL12" s="378" t="e">
        <f t="shared" si="10"/>
        <v>#N/A</v>
      </c>
      <c r="CM12" s="378" t="e">
        <f t="shared" si="11"/>
        <v>#N/A</v>
      </c>
      <c r="CN12" s="378" t="e">
        <f t="shared" si="12"/>
        <v>#N/A</v>
      </c>
      <c r="CO12" s="378" t="e">
        <f t="shared" si="13"/>
        <v>#N/A</v>
      </c>
      <c r="CP12" s="378" t="e">
        <f t="shared" si="14"/>
        <v>#N/A</v>
      </c>
      <c r="CQ12" s="378" t="e">
        <f t="shared" si="15"/>
        <v>#N/A</v>
      </c>
      <c r="CR12" s="354" t="e">
        <f t="shared" si="69"/>
        <v>#N/A</v>
      </c>
      <c r="CS12" s="379" t="e">
        <f>(HLOOKUP($AI12,'Inflation Adjustments'!$B$3:$BT$4,2,TRUE))*CH12</f>
        <v>#N/A</v>
      </c>
      <c r="CT12" s="379" t="e">
        <f>(HLOOKUP($AI12,'Inflation Adjustments'!$B$3:$BT$4,2,TRUE))*CI12</f>
        <v>#N/A</v>
      </c>
      <c r="CU12" s="379" t="e">
        <f>(HLOOKUP($AI12,'Inflation Adjustments'!$B$3:$BT$4,2,TRUE))*CJ12</f>
        <v>#N/A</v>
      </c>
      <c r="CV12" s="379" t="e">
        <f>(HLOOKUP($AI12,'Inflation Adjustments'!$B$3:$BT$4,2,TRUE))*CK12</f>
        <v>#N/A</v>
      </c>
      <c r="CW12" s="379" t="e">
        <f>(HLOOKUP($AI12,'Inflation Adjustments'!$B$3:$BT$4,2,TRUE))*CL12</f>
        <v>#N/A</v>
      </c>
      <c r="CX12" s="379" t="e">
        <f>(HLOOKUP($AI12,'Inflation Adjustments'!$B$3:$BT$4,2,TRUE))*CM12</f>
        <v>#N/A</v>
      </c>
      <c r="CY12" s="379" t="e">
        <f>(HLOOKUP($AI12,'Inflation Adjustments'!$B$3:$BT$4,2,TRUE))*CN12</f>
        <v>#N/A</v>
      </c>
      <c r="CZ12" s="379" t="e">
        <f>(HLOOKUP($AI12,'Inflation Adjustments'!$B$3:$BT$4,2,TRUE))*CO12</f>
        <v>#N/A</v>
      </c>
      <c r="DA12" s="379" t="e">
        <f>(HLOOKUP($AI12,'Inflation Adjustments'!$B$3:$BT$4,2,TRUE))*CP12</f>
        <v>#N/A</v>
      </c>
      <c r="DB12" s="379" t="e">
        <f>(HLOOKUP($AI12,'Inflation Adjustments'!$B$3:$BT$4,2,TRUE))*CQ12</f>
        <v>#N/A</v>
      </c>
      <c r="DC12" s="379" t="e">
        <f t="shared" si="17"/>
        <v>#N/A</v>
      </c>
      <c r="DD12" s="354">
        <f t="shared" si="18"/>
        <v>2022</v>
      </c>
      <c r="DE12" s="378" t="e">
        <f t="shared" si="19"/>
        <v>#N/A</v>
      </c>
      <c r="DF12" s="378" t="e">
        <f t="shared" si="20"/>
        <v>#N/A</v>
      </c>
      <c r="DG12" s="378" t="e">
        <f t="shared" si="21"/>
        <v>#N/A</v>
      </c>
      <c r="DH12" s="378" t="e">
        <f t="shared" si="22"/>
        <v>#N/A</v>
      </c>
      <c r="DI12" s="378" t="e">
        <f t="shared" si="23"/>
        <v>#N/A</v>
      </c>
      <c r="DJ12" s="378" t="e">
        <f t="shared" si="24"/>
        <v>#N/A</v>
      </c>
      <c r="DK12" s="378" t="e">
        <f t="shared" si="25"/>
        <v>#N/A</v>
      </c>
      <c r="DL12" s="378" t="e">
        <f t="shared" si="26"/>
        <v>#N/A</v>
      </c>
      <c r="DM12" s="378" t="e">
        <f t="shared" si="27"/>
        <v>#N/A</v>
      </c>
      <c r="DN12" s="378" t="e">
        <f t="shared" si="28"/>
        <v>#N/A</v>
      </c>
      <c r="DO12" s="380" t="e">
        <f t="shared" si="29"/>
        <v>#N/A</v>
      </c>
      <c r="DP12" s="380" t="e">
        <f t="shared" si="30"/>
        <v>#N/A</v>
      </c>
      <c r="DQ12" s="380" t="e">
        <f t="shared" si="31"/>
        <v>#N/A</v>
      </c>
      <c r="DR12" s="380" t="e">
        <f t="shared" si="32"/>
        <v>#N/A</v>
      </c>
      <c r="DS12" s="380" t="e">
        <f t="shared" si="33"/>
        <v>#N/A</v>
      </c>
      <c r="DT12" s="380" t="e">
        <f t="shared" si="34"/>
        <v>#N/A</v>
      </c>
      <c r="DU12" s="380" t="e">
        <f t="shared" si="35"/>
        <v>#N/A</v>
      </c>
      <c r="DV12" s="380" t="e">
        <f t="shared" si="36"/>
        <v>#N/A</v>
      </c>
      <c r="DW12" s="380" t="e">
        <f t="shared" si="37"/>
        <v>#N/A</v>
      </c>
      <c r="DX12" s="380" t="e">
        <f t="shared" si="38"/>
        <v>#N/A</v>
      </c>
      <c r="DY12" s="380" t="e">
        <f t="shared" si="70"/>
        <v>#N/A</v>
      </c>
      <c r="DZ12" s="378" t="e">
        <f t="shared" si="40"/>
        <v>#N/A</v>
      </c>
      <c r="EA12" s="378" t="e">
        <f t="shared" si="41"/>
        <v>#N/A</v>
      </c>
      <c r="EB12" s="378" t="e">
        <f t="shared" si="42"/>
        <v>#N/A</v>
      </c>
      <c r="EC12" s="378" t="e">
        <f t="shared" si="43"/>
        <v>#N/A</v>
      </c>
      <c r="ED12" s="378" t="e">
        <f t="shared" si="44"/>
        <v>#N/A</v>
      </c>
      <c r="EE12" s="378" t="e">
        <f t="shared" si="45"/>
        <v>#N/A</v>
      </c>
      <c r="EF12" s="378" t="e">
        <f t="shared" si="46"/>
        <v>#N/A</v>
      </c>
      <c r="EG12" s="378" t="e">
        <f t="shared" si="47"/>
        <v>#N/A</v>
      </c>
      <c r="EH12" s="378" t="e">
        <f t="shared" si="48"/>
        <v>#N/A</v>
      </c>
      <c r="EI12" s="378" t="e">
        <f t="shared" si="49"/>
        <v>#N/A</v>
      </c>
      <c r="EJ12" s="354" t="e">
        <f t="shared" si="50"/>
        <v>#N/A</v>
      </c>
      <c r="EK12" s="380" t="e">
        <f t="shared" si="51"/>
        <v>#N/A</v>
      </c>
      <c r="EL12" s="380" t="e">
        <f t="shared" si="52"/>
        <v>#N/A</v>
      </c>
      <c r="EM12" s="380" t="e">
        <f t="shared" si="53"/>
        <v>#N/A</v>
      </c>
      <c r="EN12" s="380" t="e">
        <f t="shared" si="54"/>
        <v>#N/A</v>
      </c>
      <c r="EO12" s="380" t="e">
        <f t="shared" si="55"/>
        <v>#N/A</v>
      </c>
      <c r="EP12" s="380" t="e">
        <f t="shared" si="56"/>
        <v>#N/A</v>
      </c>
      <c r="EQ12" s="380" t="e">
        <f t="shared" si="57"/>
        <v>#N/A</v>
      </c>
      <c r="ER12" s="380" t="e">
        <f t="shared" si="58"/>
        <v>#N/A</v>
      </c>
      <c r="ES12" s="380" t="e">
        <f t="shared" si="59"/>
        <v>#N/A</v>
      </c>
      <c r="ET12" s="380" t="e">
        <f t="shared" si="60"/>
        <v>#N/A</v>
      </c>
      <c r="EU12" s="379" t="e">
        <f t="shared" si="61"/>
        <v>#N/A</v>
      </c>
      <c r="EV12" s="382"/>
      <c r="EW12" s="382"/>
      <c r="EX12" s="382"/>
      <c r="EY12" s="382"/>
      <c r="EZ12" s="382"/>
      <c r="FA12" s="382"/>
      <c r="FB12" s="382"/>
      <c r="FE12" s="582" t="s">
        <v>1657</v>
      </c>
      <c r="FF12" s="582"/>
      <c r="FG12" s="582"/>
      <c r="FH12" s="582"/>
    </row>
    <row r="13" spans="1:165" ht="35" customHeight="1" x14ac:dyDescent="0.3">
      <c r="A13" s="330"/>
      <c r="B13" s="318"/>
      <c r="C13" s="318"/>
      <c r="D13" s="318"/>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7"/>
      <c r="AN13" s="318"/>
      <c r="AO13" s="511" t="e">
        <f t="shared" si="65"/>
        <v>#N/A</v>
      </c>
      <c r="AP13" s="511" t="e">
        <f t="shared" si="66"/>
        <v>#N/A</v>
      </c>
      <c r="AQ13" s="511" t="e">
        <f t="shared" si="67"/>
        <v>#N/A</v>
      </c>
      <c r="AR13" s="511" t="e">
        <f t="shared" si="68"/>
        <v>#N/A</v>
      </c>
      <c r="AS13" s="511" t="e">
        <f>HLOOKUP($C$1,'Inflation Adjustments'!$BI$3:$BT$4,2)*CR13</f>
        <v>#N/A</v>
      </c>
      <c r="AT13" s="511">
        <f>IF(BU13="In Service",'Maintenace Cost Assumptions'!$B$3*AS13,0)</f>
        <v>0</v>
      </c>
      <c r="AU13" s="318"/>
      <c r="AV13" s="318"/>
      <c r="AW13" s="318"/>
      <c r="AX13" s="318"/>
      <c r="AY13" s="318"/>
      <c r="AZ13" s="318"/>
      <c r="BA13" s="318"/>
      <c r="BB13" s="318"/>
      <c r="BC13" s="318"/>
      <c r="BD13" s="318"/>
      <c r="BE13" s="318"/>
      <c r="BF13" s="318"/>
      <c r="BG13" s="332">
        <f>(AU13*'Condition rating weights'!H$8+AV13*'Condition rating weights'!I$8+AW13*'Condition rating weights'!J$8+AX13*'Condition rating weights'!K$8+AY13*'Condition rating weights'!L$8+AZ13*'Condition rating weights'!M$8+BA13*'Condition rating weights'!N$8+BB13*'Condition rating weights'!O$8+BC13*'Condition rating weights'!P$8+BD13*'Condition rating weights'!Q$8+BE13*'Condition rating weights'!R$8+BF13*'Condition rating weights'!S$8)/100</f>
        <v>0</v>
      </c>
      <c r="BH13" s="333"/>
      <c r="BI13" s="333"/>
      <c r="BJ13" s="333"/>
      <c r="BK13" s="333"/>
      <c r="BL13" s="333"/>
      <c r="BM13" s="333"/>
      <c r="BN13" s="333"/>
      <c r="BO13" s="333"/>
      <c r="BP13" s="333"/>
      <c r="BQ13" s="333"/>
      <c r="BR13" s="333"/>
      <c r="BS13" s="333"/>
      <c r="BT13" s="334"/>
      <c r="BU13" s="335"/>
      <c r="BV13" s="255"/>
      <c r="BY13" s="376" t="str">
        <f>'GRC and TUL Assumptions'!A13</f>
        <v>Services Sanitation</v>
      </c>
      <c r="BZ13" s="373">
        <f>'GRC and TUL Assumptions'!C13</f>
        <v>100</v>
      </c>
      <c r="CA13" s="373">
        <f>'GRC and TUL Assumptions'!D13</f>
        <v>130</v>
      </c>
      <c r="CB13" s="373">
        <f>'GRC and TUL Assumptions'!E13</f>
        <v>150</v>
      </c>
      <c r="CC13" s="373">
        <v>0</v>
      </c>
      <c r="CD13" s="373">
        <f>'GRC and TUL Assumptions'!F13</f>
        <v>20</v>
      </c>
      <c r="CE13" s="373">
        <f>'GRC and TUL Assumptions'!G13</f>
        <v>30</v>
      </c>
      <c r="CF13" s="373">
        <f>'GRC and TUL Assumptions'!H13</f>
        <v>40</v>
      </c>
      <c r="CG13" s="373">
        <f t="shared" si="64"/>
        <v>20</v>
      </c>
      <c r="CH13" s="378" t="e">
        <f t="shared" si="6"/>
        <v>#N/A</v>
      </c>
      <c r="CI13" s="378" t="e">
        <f t="shared" si="7"/>
        <v>#N/A</v>
      </c>
      <c r="CJ13" s="378" t="e">
        <f t="shared" si="8"/>
        <v>#N/A</v>
      </c>
      <c r="CK13" s="378" t="e">
        <f t="shared" si="9"/>
        <v>#N/A</v>
      </c>
      <c r="CL13" s="378" t="e">
        <f t="shared" si="10"/>
        <v>#N/A</v>
      </c>
      <c r="CM13" s="378" t="e">
        <f t="shared" si="11"/>
        <v>#N/A</v>
      </c>
      <c r="CN13" s="378" t="e">
        <f t="shared" si="12"/>
        <v>#N/A</v>
      </c>
      <c r="CO13" s="378" t="e">
        <f t="shared" si="13"/>
        <v>#N/A</v>
      </c>
      <c r="CP13" s="378" t="e">
        <f t="shared" si="14"/>
        <v>#N/A</v>
      </c>
      <c r="CQ13" s="378" t="e">
        <f t="shared" si="15"/>
        <v>#N/A</v>
      </c>
      <c r="CR13" s="354" t="e">
        <f t="shared" si="69"/>
        <v>#N/A</v>
      </c>
      <c r="CS13" s="379" t="e">
        <f>(HLOOKUP($AI13,'Inflation Adjustments'!$B$3:$BT$4,2,TRUE))*CH13</f>
        <v>#N/A</v>
      </c>
      <c r="CT13" s="379" t="e">
        <f>(HLOOKUP($AI13,'Inflation Adjustments'!$B$3:$BT$4,2,TRUE))*CI13</f>
        <v>#N/A</v>
      </c>
      <c r="CU13" s="379" t="e">
        <f>(HLOOKUP($AI13,'Inflation Adjustments'!$B$3:$BT$4,2,TRUE))*CJ13</f>
        <v>#N/A</v>
      </c>
      <c r="CV13" s="379" t="e">
        <f>(HLOOKUP($AI13,'Inflation Adjustments'!$B$3:$BT$4,2,TRUE))*CK13</f>
        <v>#N/A</v>
      </c>
      <c r="CW13" s="379" t="e">
        <f>(HLOOKUP($AI13,'Inflation Adjustments'!$B$3:$BT$4,2,TRUE))*CL13</f>
        <v>#N/A</v>
      </c>
      <c r="CX13" s="379" t="e">
        <f>(HLOOKUP($AI13,'Inflation Adjustments'!$B$3:$BT$4,2,TRUE))*CM13</f>
        <v>#N/A</v>
      </c>
      <c r="CY13" s="379" t="e">
        <f>(HLOOKUP($AI13,'Inflation Adjustments'!$B$3:$BT$4,2,TRUE))*CN13</f>
        <v>#N/A</v>
      </c>
      <c r="CZ13" s="379" t="e">
        <f>(HLOOKUP($AI13,'Inflation Adjustments'!$B$3:$BT$4,2,TRUE))*CO13</f>
        <v>#N/A</v>
      </c>
      <c r="DA13" s="379" t="e">
        <f>(HLOOKUP($AI13,'Inflation Adjustments'!$B$3:$BT$4,2,TRUE))*CP13</f>
        <v>#N/A</v>
      </c>
      <c r="DB13" s="379" t="e">
        <f>(HLOOKUP($AI13,'Inflation Adjustments'!$B$3:$BT$4,2,TRUE))*CQ13</f>
        <v>#N/A</v>
      </c>
      <c r="DC13" s="379" t="e">
        <f t="shared" si="17"/>
        <v>#N/A</v>
      </c>
      <c r="DD13" s="354">
        <f t="shared" si="18"/>
        <v>2022</v>
      </c>
      <c r="DE13" s="378" t="e">
        <f t="shared" si="19"/>
        <v>#N/A</v>
      </c>
      <c r="DF13" s="378" t="e">
        <f t="shared" si="20"/>
        <v>#N/A</v>
      </c>
      <c r="DG13" s="378" t="e">
        <f t="shared" si="21"/>
        <v>#N/A</v>
      </c>
      <c r="DH13" s="378" t="e">
        <f t="shared" si="22"/>
        <v>#N/A</v>
      </c>
      <c r="DI13" s="378" t="e">
        <f t="shared" si="23"/>
        <v>#N/A</v>
      </c>
      <c r="DJ13" s="378" t="e">
        <f t="shared" si="24"/>
        <v>#N/A</v>
      </c>
      <c r="DK13" s="378" t="e">
        <f t="shared" si="25"/>
        <v>#N/A</v>
      </c>
      <c r="DL13" s="378" t="e">
        <f t="shared" si="26"/>
        <v>#N/A</v>
      </c>
      <c r="DM13" s="378" t="e">
        <f t="shared" si="27"/>
        <v>#N/A</v>
      </c>
      <c r="DN13" s="378" t="e">
        <f t="shared" si="28"/>
        <v>#N/A</v>
      </c>
      <c r="DO13" s="380" t="e">
        <f t="shared" si="29"/>
        <v>#N/A</v>
      </c>
      <c r="DP13" s="380" t="e">
        <f t="shared" si="30"/>
        <v>#N/A</v>
      </c>
      <c r="DQ13" s="380" t="e">
        <f t="shared" si="31"/>
        <v>#N/A</v>
      </c>
      <c r="DR13" s="380" t="e">
        <f t="shared" si="32"/>
        <v>#N/A</v>
      </c>
      <c r="DS13" s="380" t="e">
        <f t="shared" si="33"/>
        <v>#N/A</v>
      </c>
      <c r="DT13" s="380" t="e">
        <f t="shared" si="34"/>
        <v>#N/A</v>
      </c>
      <c r="DU13" s="380" t="e">
        <f t="shared" si="35"/>
        <v>#N/A</v>
      </c>
      <c r="DV13" s="380" t="e">
        <f t="shared" si="36"/>
        <v>#N/A</v>
      </c>
      <c r="DW13" s="380" t="e">
        <f t="shared" si="37"/>
        <v>#N/A</v>
      </c>
      <c r="DX13" s="380" t="e">
        <f t="shared" si="38"/>
        <v>#N/A</v>
      </c>
      <c r="DY13" s="380" t="e">
        <f t="shared" si="70"/>
        <v>#N/A</v>
      </c>
      <c r="DZ13" s="378" t="e">
        <f t="shared" si="40"/>
        <v>#N/A</v>
      </c>
      <c r="EA13" s="378" t="e">
        <f t="shared" si="41"/>
        <v>#N/A</v>
      </c>
      <c r="EB13" s="378" t="e">
        <f t="shared" si="42"/>
        <v>#N/A</v>
      </c>
      <c r="EC13" s="378" t="e">
        <f t="shared" si="43"/>
        <v>#N/A</v>
      </c>
      <c r="ED13" s="378" t="e">
        <f t="shared" si="44"/>
        <v>#N/A</v>
      </c>
      <c r="EE13" s="378" t="e">
        <f t="shared" si="45"/>
        <v>#N/A</v>
      </c>
      <c r="EF13" s="378" t="e">
        <f t="shared" si="46"/>
        <v>#N/A</v>
      </c>
      <c r="EG13" s="378" t="e">
        <f t="shared" si="47"/>
        <v>#N/A</v>
      </c>
      <c r="EH13" s="378" t="e">
        <f t="shared" si="48"/>
        <v>#N/A</v>
      </c>
      <c r="EI13" s="378" t="e">
        <f t="shared" si="49"/>
        <v>#N/A</v>
      </c>
      <c r="EJ13" s="354" t="e">
        <f t="shared" si="50"/>
        <v>#N/A</v>
      </c>
      <c r="EK13" s="380" t="e">
        <f t="shared" si="51"/>
        <v>#N/A</v>
      </c>
      <c r="EL13" s="380" t="e">
        <f t="shared" si="52"/>
        <v>#N/A</v>
      </c>
      <c r="EM13" s="380" t="e">
        <f t="shared" si="53"/>
        <v>#N/A</v>
      </c>
      <c r="EN13" s="380" t="e">
        <f t="shared" si="54"/>
        <v>#N/A</v>
      </c>
      <c r="EO13" s="380" t="e">
        <f t="shared" si="55"/>
        <v>#N/A</v>
      </c>
      <c r="EP13" s="380" t="e">
        <f t="shared" si="56"/>
        <v>#N/A</v>
      </c>
      <c r="EQ13" s="380" t="e">
        <f t="shared" si="57"/>
        <v>#N/A</v>
      </c>
      <c r="ER13" s="380" t="e">
        <f t="shared" si="58"/>
        <v>#N/A</v>
      </c>
      <c r="ES13" s="380" t="e">
        <f t="shared" si="59"/>
        <v>#N/A</v>
      </c>
      <c r="ET13" s="380" t="e">
        <f t="shared" si="60"/>
        <v>#N/A</v>
      </c>
      <c r="EU13" s="379" t="e">
        <f t="shared" si="61"/>
        <v>#N/A</v>
      </c>
      <c r="EV13" s="382"/>
      <c r="EW13" s="382"/>
      <c r="EX13" s="382"/>
      <c r="EY13" s="382"/>
      <c r="EZ13" s="382"/>
      <c r="FA13" s="382"/>
      <c r="FB13" s="382"/>
    </row>
    <row r="14" spans="1:165" ht="35" customHeight="1" x14ac:dyDescent="0.3">
      <c r="A14" s="330"/>
      <c r="B14" s="318"/>
      <c r="C14" s="318"/>
      <c r="D14" s="318"/>
      <c r="E14" s="318"/>
      <c r="F14" s="318"/>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7"/>
      <c r="AN14" s="318"/>
      <c r="AO14" s="511" t="e">
        <f t="shared" si="65"/>
        <v>#N/A</v>
      </c>
      <c r="AP14" s="511" t="e">
        <f t="shared" si="66"/>
        <v>#N/A</v>
      </c>
      <c r="AQ14" s="511" t="e">
        <f t="shared" si="67"/>
        <v>#N/A</v>
      </c>
      <c r="AR14" s="511" t="e">
        <f t="shared" si="68"/>
        <v>#N/A</v>
      </c>
      <c r="AS14" s="511" t="e">
        <f>HLOOKUP($C$1,'Inflation Adjustments'!$BI$3:$BT$4,2)*CR14</f>
        <v>#N/A</v>
      </c>
      <c r="AT14" s="511">
        <f>IF(BU14="In Service",'Maintenace Cost Assumptions'!$B$3*AS14,0)</f>
        <v>0</v>
      </c>
      <c r="AU14" s="318"/>
      <c r="AV14" s="318"/>
      <c r="AW14" s="318"/>
      <c r="AX14" s="318"/>
      <c r="AY14" s="318"/>
      <c r="AZ14" s="318"/>
      <c r="BA14" s="318"/>
      <c r="BB14" s="318"/>
      <c r="BC14" s="318"/>
      <c r="BD14" s="318"/>
      <c r="BE14" s="318"/>
      <c r="BF14" s="318"/>
      <c r="BG14" s="332">
        <f>(AU14*'Condition rating weights'!H$8+AV14*'Condition rating weights'!I$8+AW14*'Condition rating weights'!J$8+AX14*'Condition rating weights'!K$8+AY14*'Condition rating weights'!L$8+AZ14*'Condition rating weights'!M$8+BA14*'Condition rating weights'!N$8+BB14*'Condition rating weights'!O$8+BC14*'Condition rating weights'!P$8+BD14*'Condition rating weights'!Q$8+BE14*'Condition rating weights'!R$8+BF14*'Condition rating weights'!S$8)/100</f>
        <v>0</v>
      </c>
      <c r="BH14" s="333"/>
      <c r="BI14" s="333"/>
      <c r="BJ14" s="333"/>
      <c r="BK14" s="333"/>
      <c r="BL14" s="333"/>
      <c r="BM14" s="333"/>
      <c r="BN14" s="333"/>
      <c r="BO14" s="333"/>
      <c r="BP14" s="333"/>
      <c r="BQ14" s="333"/>
      <c r="BR14" s="333"/>
      <c r="BS14" s="333"/>
      <c r="BT14" s="334"/>
      <c r="BU14" s="335"/>
      <c r="BV14" s="255"/>
      <c r="BY14" s="376" t="str">
        <f>'GRC and TUL Assumptions'!A14</f>
        <v>Services Water</v>
      </c>
      <c r="BZ14" s="373">
        <f>'GRC and TUL Assumptions'!C14</f>
        <v>20</v>
      </c>
      <c r="CA14" s="373">
        <f>'GRC and TUL Assumptions'!D14</f>
        <v>40</v>
      </c>
      <c r="CB14" s="373">
        <f>'GRC and TUL Assumptions'!E14</f>
        <v>70</v>
      </c>
      <c r="CC14" s="373">
        <v>0</v>
      </c>
      <c r="CD14" s="373">
        <f>'GRC and TUL Assumptions'!F14</f>
        <v>20</v>
      </c>
      <c r="CE14" s="373">
        <f>'GRC and TUL Assumptions'!G14</f>
        <v>30</v>
      </c>
      <c r="CF14" s="373">
        <f>'GRC and TUL Assumptions'!H14</f>
        <v>40</v>
      </c>
      <c r="CG14" s="373">
        <f t="shared" si="64"/>
        <v>20</v>
      </c>
      <c r="CH14" s="378" t="e">
        <f t="shared" si="6"/>
        <v>#N/A</v>
      </c>
      <c r="CI14" s="378" t="e">
        <f t="shared" si="7"/>
        <v>#N/A</v>
      </c>
      <c r="CJ14" s="378" t="e">
        <f t="shared" si="8"/>
        <v>#N/A</v>
      </c>
      <c r="CK14" s="378" t="e">
        <f t="shared" si="9"/>
        <v>#N/A</v>
      </c>
      <c r="CL14" s="378" t="e">
        <f t="shared" si="10"/>
        <v>#N/A</v>
      </c>
      <c r="CM14" s="378" t="e">
        <f t="shared" si="11"/>
        <v>#N/A</v>
      </c>
      <c r="CN14" s="378" t="e">
        <f t="shared" si="12"/>
        <v>#N/A</v>
      </c>
      <c r="CO14" s="378" t="e">
        <f t="shared" si="13"/>
        <v>#N/A</v>
      </c>
      <c r="CP14" s="378" t="e">
        <f t="shared" si="14"/>
        <v>#N/A</v>
      </c>
      <c r="CQ14" s="378" t="e">
        <f t="shared" si="15"/>
        <v>#N/A</v>
      </c>
      <c r="CR14" s="354" t="e">
        <f t="shared" si="69"/>
        <v>#N/A</v>
      </c>
      <c r="CS14" s="379" t="e">
        <f>(HLOOKUP($AI14,'Inflation Adjustments'!$B$3:$BT$4,2,TRUE))*CH14</f>
        <v>#N/A</v>
      </c>
      <c r="CT14" s="379" t="e">
        <f>(HLOOKUP($AI14,'Inflation Adjustments'!$B$3:$BT$4,2,TRUE))*CI14</f>
        <v>#N/A</v>
      </c>
      <c r="CU14" s="379" t="e">
        <f>(HLOOKUP($AI14,'Inflation Adjustments'!$B$3:$BT$4,2,TRUE))*CJ14</f>
        <v>#N/A</v>
      </c>
      <c r="CV14" s="379" t="e">
        <f>(HLOOKUP($AI14,'Inflation Adjustments'!$B$3:$BT$4,2,TRUE))*CK14</f>
        <v>#N/A</v>
      </c>
      <c r="CW14" s="379" t="e">
        <f>(HLOOKUP($AI14,'Inflation Adjustments'!$B$3:$BT$4,2,TRUE))*CL14</f>
        <v>#N/A</v>
      </c>
      <c r="CX14" s="379" t="e">
        <f>(HLOOKUP($AI14,'Inflation Adjustments'!$B$3:$BT$4,2,TRUE))*CM14</f>
        <v>#N/A</v>
      </c>
      <c r="CY14" s="379" t="e">
        <f>(HLOOKUP($AI14,'Inflation Adjustments'!$B$3:$BT$4,2,TRUE))*CN14</f>
        <v>#N/A</v>
      </c>
      <c r="CZ14" s="379" t="e">
        <f>(HLOOKUP($AI14,'Inflation Adjustments'!$B$3:$BT$4,2,TRUE))*CO14</f>
        <v>#N/A</v>
      </c>
      <c r="DA14" s="379" t="e">
        <f>(HLOOKUP($AI14,'Inflation Adjustments'!$B$3:$BT$4,2,TRUE))*CP14</f>
        <v>#N/A</v>
      </c>
      <c r="DB14" s="379" t="e">
        <f>(HLOOKUP($AI14,'Inflation Adjustments'!$B$3:$BT$4,2,TRUE))*CQ14</f>
        <v>#N/A</v>
      </c>
      <c r="DC14" s="379" t="e">
        <f t="shared" si="17"/>
        <v>#N/A</v>
      </c>
      <c r="DD14" s="354">
        <f t="shared" si="18"/>
        <v>2022</v>
      </c>
      <c r="DE14" s="378" t="e">
        <f t="shared" si="19"/>
        <v>#N/A</v>
      </c>
      <c r="DF14" s="378" t="e">
        <f t="shared" si="20"/>
        <v>#N/A</v>
      </c>
      <c r="DG14" s="378" t="e">
        <f t="shared" si="21"/>
        <v>#N/A</v>
      </c>
      <c r="DH14" s="378" t="e">
        <f t="shared" si="22"/>
        <v>#N/A</v>
      </c>
      <c r="DI14" s="378" t="e">
        <f t="shared" si="23"/>
        <v>#N/A</v>
      </c>
      <c r="DJ14" s="378" t="e">
        <f t="shared" si="24"/>
        <v>#N/A</v>
      </c>
      <c r="DK14" s="378" t="e">
        <f t="shared" si="25"/>
        <v>#N/A</v>
      </c>
      <c r="DL14" s="378" t="e">
        <f t="shared" si="26"/>
        <v>#N/A</v>
      </c>
      <c r="DM14" s="378" t="e">
        <f t="shared" si="27"/>
        <v>#N/A</v>
      </c>
      <c r="DN14" s="378" t="e">
        <f t="shared" si="28"/>
        <v>#N/A</v>
      </c>
      <c r="DO14" s="380" t="e">
        <f t="shared" si="29"/>
        <v>#N/A</v>
      </c>
      <c r="DP14" s="380" t="e">
        <f t="shared" si="30"/>
        <v>#N/A</v>
      </c>
      <c r="DQ14" s="380" t="e">
        <f t="shared" si="31"/>
        <v>#N/A</v>
      </c>
      <c r="DR14" s="380" t="e">
        <f t="shared" si="32"/>
        <v>#N/A</v>
      </c>
      <c r="DS14" s="380" t="e">
        <f t="shared" si="33"/>
        <v>#N/A</v>
      </c>
      <c r="DT14" s="380" t="e">
        <f t="shared" si="34"/>
        <v>#N/A</v>
      </c>
      <c r="DU14" s="380" t="e">
        <f t="shared" si="35"/>
        <v>#N/A</v>
      </c>
      <c r="DV14" s="380" t="e">
        <f t="shared" si="36"/>
        <v>#N/A</v>
      </c>
      <c r="DW14" s="380" t="e">
        <f t="shared" si="37"/>
        <v>#N/A</v>
      </c>
      <c r="DX14" s="380" t="e">
        <f t="shared" si="38"/>
        <v>#N/A</v>
      </c>
      <c r="DY14" s="380" t="e">
        <f t="shared" si="70"/>
        <v>#N/A</v>
      </c>
      <c r="DZ14" s="378" t="e">
        <f t="shared" si="40"/>
        <v>#N/A</v>
      </c>
      <c r="EA14" s="378" t="e">
        <f t="shared" si="41"/>
        <v>#N/A</v>
      </c>
      <c r="EB14" s="378" t="e">
        <f t="shared" si="42"/>
        <v>#N/A</v>
      </c>
      <c r="EC14" s="378" t="e">
        <f t="shared" si="43"/>
        <v>#N/A</v>
      </c>
      <c r="ED14" s="378" t="e">
        <f t="shared" si="44"/>
        <v>#N/A</v>
      </c>
      <c r="EE14" s="378" t="e">
        <f t="shared" si="45"/>
        <v>#N/A</v>
      </c>
      <c r="EF14" s="378" t="e">
        <f t="shared" si="46"/>
        <v>#N/A</v>
      </c>
      <c r="EG14" s="378" t="e">
        <f t="shared" si="47"/>
        <v>#N/A</v>
      </c>
      <c r="EH14" s="378" t="e">
        <f t="shared" si="48"/>
        <v>#N/A</v>
      </c>
      <c r="EI14" s="378" t="e">
        <f t="shared" si="49"/>
        <v>#N/A</v>
      </c>
      <c r="EJ14" s="354" t="e">
        <f t="shared" si="50"/>
        <v>#N/A</v>
      </c>
      <c r="EK14" s="380" t="e">
        <f t="shared" si="51"/>
        <v>#N/A</v>
      </c>
      <c r="EL14" s="380" t="e">
        <f t="shared" si="52"/>
        <v>#N/A</v>
      </c>
      <c r="EM14" s="380" t="e">
        <f t="shared" si="53"/>
        <v>#N/A</v>
      </c>
      <c r="EN14" s="380" t="e">
        <f t="shared" si="54"/>
        <v>#N/A</v>
      </c>
      <c r="EO14" s="380" t="e">
        <f t="shared" si="55"/>
        <v>#N/A</v>
      </c>
      <c r="EP14" s="380" t="e">
        <f t="shared" si="56"/>
        <v>#N/A</v>
      </c>
      <c r="EQ14" s="380" t="e">
        <f t="shared" si="57"/>
        <v>#N/A</v>
      </c>
      <c r="ER14" s="380" t="e">
        <f t="shared" si="58"/>
        <v>#N/A</v>
      </c>
      <c r="ES14" s="380" t="e">
        <f t="shared" si="59"/>
        <v>#N/A</v>
      </c>
      <c r="ET14" s="380" t="e">
        <f t="shared" si="60"/>
        <v>#N/A</v>
      </c>
      <c r="EU14" s="379" t="e">
        <f t="shared" si="61"/>
        <v>#N/A</v>
      </c>
      <c r="EV14" s="382"/>
      <c r="EW14" s="382"/>
      <c r="EX14" s="382"/>
      <c r="EY14" s="382"/>
      <c r="EZ14" s="382"/>
      <c r="FA14" s="382"/>
      <c r="FB14" s="382"/>
      <c r="FI14" s="91" t="s">
        <v>1654</v>
      </c>
    </row>
    <row r="15" spans="1:165" ht="35" customHeight="1" x14ac:dyDescent="0.3">
      <c r="A15" s="330"/>
      <c r="B15" s="318"/>
      <c r="C15" s="318"/>
      <c r="D15" s="318"/>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7"/>
      <c r="AN15" s="318"/>
      <c r="AO15" s="511" t="e">
        <f t="shared" si="65"/>
        <v>#N/A</v>
      </c>
      <c r="AP15" s="511" t="e">
        <f t="shared" si="66"/>
        <v>#N/A</v>
      </c>
      <c r="AQ15" s="511" t="e">
        <f t="shared" si="67"/>
        <v>#N/A</v>
      </c>
      <c r="AR15" s="511" t="e">
        <f t="shared" si="68"/>
        <v>#N/A</v>
      </c>
      <c r="AS15" s="511" t="e">
        <f>HLOOKUP($C$1,'Inflation Adjustments'!$BI$3:$BT$4,2)*CR15</f>
        <v>#N/A</v>
      </c>
      <c r="AT15" s="511">
        <f>IF(BU15="In Service",'Maintenace Cost Assumptions'!$B$3*AS15,0)</f>
        <v>0</v>
      </c>
      <c r="AU15" s="318"/>
      <c r="AV15" s="318"/>
      <c r="AW15" s="318"/>
      <c r="AX15" s="318"/>
      <c r="AY15" s="318"/>
      <c r="AZ15" s="318"/>
      <c r="BA15" s="318"/>
      <c r="BB15" s="318"/>
      <c r="BC15" s="318"/>
      <c r="BD15" s="318"/>
      <c r="BE15" s="318"/>
      <c r="BF15" s="318"/>
      <c r="BG15" s="332">
        <f>(AU15*'Condition rating weights'!H$8+AV15*'Condition rating weights'!I$8+AW15*'Condition rating weights'!J$8+AX15*'Condition rating weights'!K$8+AY15*'Condition rating weights'!L$8+AZ15*'Condition rating weights'!M$8+BA15*'Condition rating weights'!N$8+BB15*'Condition rating weights'!O$8+BC15*'Condition rating weights'!P$8+BD15*'Condition rating weights'!Q$8+BE15*'Condition rating weights'!R$8+BF15*'Condition rating weights'!S$8)/100</f>
        <v>0</v>
      </c>
      <c r="BH15" s="333"/>
      <c r="BI15" s="333"/>
      <c r="BJ15" s="333"/>
      <c r="BK15" s="333"/>
      <c r="BL15" s="333"/>
      <c r="BM15" s="333"/>
      <c r="BN15" s="333"/>
      <c r="BO15" s="333"/>
      <c r="BP15" s="333"/>
      <c r="BQ15" s="333"/>
      <c r="BR15" s="333"/>
      <c r="BS15" s="333"/>
      <c r="BT15" s="334"/>
      <c r="BU15" s="335"/>
      <c r="BV15" s="255"/>
      <c r="BY15" s="144"/>
      <c r="BZ15" s="144"/>
      <c r="CA15" s="144"/>
      <c r="CB15" s="144"/>
      <c r="CC15" s="144"/>
      <c r="CD15" s="365"/>
      <c r="CE15" s="144"/>
      <c r="CF15" s="144"/>
      <c r="CG15" s="144"/>
      <c r="CH15" s="378" t="e">
        <f t="shared" si="6"/>
        <v>#N/A</v>
      </c>
      <c r="CI15" s="378" t="e">
        <f t="shared" si="7"/>
        <v>#N/A</v>
      </c>
      <c r="CJ15" s="378" t="e">
        <f t="shared" si="8"/>
        <v>#N/A</v>
      </c>
      <c r="CK15" s="378" t="e">
        <f t="shared" si="9"/>
        <v>#N/A</v>
      </c>
      <c r="CL15" s="378" t="e">
        <f t="shared" si="10"/>
        <v>#N/A</v>
      </c>
      <c r="CM15" s="378" t="e">
        <f t="shared" si="11"/>
        <v>#N/A</v>
      </c>
      <c r="CN15" s="378" t="e">
        <f t="shared" si="12"/>
        <v>#N/A</v>
      </c>
      <c r="CO15" s="378" t="e">
        <f t="shared" si="13"/>
        <v>#N/A</v>
      </c>
      <c r="CP15" s="378" t="e">
        <f t="shared" si="14"/>
        <v>#N/A</v>
      </c>
      <c r="CQ15" s="378" t="e">
        <f t="shared" si="15"/>
        <v>#N/A</v>
      </c>
      <c r="CR15" s="354" t="e">
        <f t="shared" ref="CR15:CR17" si="71">SUM(CH15:CQ15)</f>
        <v>#N/A</v>
      </c>
      <c r="CS15" s="379" t="e">
        <f>(HLOOKUP($AI15,'Inflation Adjustments'!$B$3:$BT$4,2,TRUE))*CH15</f>
        <v>#N/A</v>
      </c>
      <c r="CT15" s="379" t="e">
        <f>(HLOOKUP($AI15,'Inflation Adjustments'!$B$3:$BT$4,2,TRUE))*CI15</f>
        <v>#N/A</v>
      </c>
      <c r="CU15" s="379" t="e">
        <f>(HLOOKUP($AI15,'Inflation Adjustments'!$B$3:$BT$4,2,TRUE))*CJ15</f>
        <v>#N/A</v>
      </c>
      <c r="CV15" s="379" t="e">
        <f>(HLOOKUP($AI15,'Inflation Adjustments'!$B$3:$BT$4,2,TRUE))*CK15</f>
        <v>#N/A</v>
      </c>
      <c r="CW15" s="379" t="e">
        <f>(HLOOKUP($AI15,'Inflation Adjustments'!$B$3:$BT$4,2,TRUE))*CL15</f>
        <v>#N/A</v>
      </c>
      <c r="CX15" s="379" t="e">
        <f>(HLOOKUP($AI15,'Inflation Adjustments'!$B$3:$BT$4,2,TRUE))*CM15</f>
        <v>#N/A</v>
      </c>
      <c r="CY15" s="379" t="e">
        <f>(HLOOKUP($AI15,'Inflation Adjustments'!$B$3:$BT$4,2,TRUE))*CN15</f>
        <v>#N/A</v>
      </c>
      <c r="CZ15" s="379" t="e">
        <f>(HLOOKUP($AI15,'Inflation Adjustments'!$B$3:$BT$4,2,TRUE))*CO15</f>
        <v>#N/A</v>
      </c>
      <c r="DA15" s="379" t="e">
        <f>(HLOOKUP($AI15,'Inflation Adjustments'!$B$3:$BT$4,2,TRUE))*CP15</f>
        <v>#N/A</v>
      </c>
      <c r="DB15" s="379" t="e">
        <f>(HLOOKUP($AI15,'Inflation Adjustments'!$B$3:$BT$4,2,TRUE))*CQ15</f>
        <v>#N/A</v>
      </c>
      <c r="DC15" s="379" t="e">
        <f t="shared" si="17"/>
        <v>#N/A</v>
      </c>
      <c r="DD15" s="354">
        <f t="shared" si="18"/>
        <v>2022</v>
      </c>
      <c r="DE15" s="378" t="e">
        <f t="shared" si="19"/>
        <v>#N/A</v>
      </c>
      <c r="DF15" s="378" t="e">
        <f t="shared" si="20"/>
        <v>#N/A</v>
      </c>
      <c r="DG15" s="378" t="e">
        <f t="shared" si="21"/>
        <v>#N/A</v>
      </c>
      <c r="DH15" s="378" t="e">
        <f t="shared" si="22"/>
        <v>#N/A</v>
      </c>
      <c r="DI15" s="378" t="e">
        <f t="shared" si="23"/>
        <v>#N/A</v>
      </c>
      <c r="DJ15" s="378" t="e">
        <f t="shared" si="24"/>
        <v>#N/A</v>
      </c>
      <c r="DK15" s="378" t="e">
        <f t="shared" si="25"/>
        <v>#N/A</v>
      </c>
      <c r="DL15" s="378" t="e">
        <f t="shared" si="26"/>
        <v>#N/A</v>
      </c>
      <c r="DM15" s="378" t="e">
        <f t="shared" si="27"/>
        <v>#N/A</v>
      </c>
      <c r="DN15" s="378" t="e">
        <f t="shared" si="28"/>
        <v>#N/A</v>
      </c>
      <c r="DO15" s="380" t="e">
        <f t="shared" ref="DO15:DX17" si="72">CS15/DE15</f>
        <v>#N/A</v>
      </c>
      <c r="DP15" s="380" t="e">
        <f t="shared" si="72"/>
        <v>#N/A</v>
      </c>
      <c r="DQ15" s="380" t="e">
        <f t="shared" si="72"/>
        <v>#N/A</v>
      </c>
      <c r="DR15" s="380" t="e">
        <f t="shared" si="72"/>
        <v>#N/A</v>
      </c>
      <c r="DS15" s="380" t="e">
        <f t="shared" si="72"/>
        <v>#N/A</v>
      </c>
      <c r="DT15" s="380" t="e">
        <f t="shared" si="72"/>
        <v>#N/A</v>
      </c>
      <c r="DU15" s="380" t="e">
        <f t="shared" si="72"/>
        <v>#N/A</v>
      </c>
      <c r="DV15" s="380" t="e">
        <f t="shared" si="72"/>
        <v>#N/A</v>
      </c>
      <c r="DW15" s="380" t="e">
        <f t="shared" si="72"/>
        <v>#N/A</v>
      </c>
      <c r="DX15" s="380" t="e">
        <f t="shared" si="72"/>
        <v>#N/A</v>
      </c>
      <c r="DY15" s="380" t="e">
        <f t="shared" ref="DY15:DY17" si="73">SUM(DO15:DX15)</f>
        <v>#N/A</v>
      </c>
      <c r="DZ15" s="378" t="e">
        <f t="shared" si="40"/>
        <v>#N/A</v>
      </c>
      <c r="EA15" s="378" t="e">
        <f t="shared" si="41"/>
        <v>#N/A</v>
      </c>
      <c r="EB15" s="378" t="e">
        <f t="shared" si="42"/>
        <v>#N/A</v>
      </c>
      <c r="EC15" s="378" t="e">
        <f t="shared" si="43"/>
        <v>#N/A</v>
      </c>
      <c r="ED15" s="378" t="e">
        <f t="shared" si="44"/>
        <v>#N/A</v>
      </c>
      <c r="EE15" s="378" t="e">
        <f t="shared" si="45"/>
        <v>#N/A</v>
      </c>
      <c r="EF15" s="378" t="e">
        <f t="shared" si="46"/>
        <v>#N/A</v>
      </c>
      <c r="EG15" s="378" t="e">
        <f t="shared" si="47"/>
        <v>#N/A</v>
      </c>
      <c r="EH15" s="378" t="e">
        <f t="shared" si="48"/>
        <v>#N/A</v>
      </c>
      <c r="EI15" s="378" t="e">
        <f t="shared" si="49"/>
        <v>#N/A</v>
      </c>
      <c r="EJ15" s="354" t="e">
        <f t="shared" ref="EJ15:EJ17" si="74">SUM(DZ15:EI15)</f>
        <v>#N/A</v>
      </c>
      <c r="EK15" s="380" t="e">
        <f t="shared" ref="EK15:ET17" si="75">IF(DO15&lt;(CS15-DZ15),DO15,(CS15-DZ15))</f>
        <v>#N/A</v>
      </c>
      <c r="EL15" s="380" t="e">
        <f t="shared" si="75"/>
        <v>#N/A</v>
      </c>
      <c r="EM15" s="380" t="e">
        <f t="shared" si="75"/>
        <v>#N/A</v>
      </c>
      <c r="EN15" s="380" t="e">
        <f t="shared" si="75"/>
        <v>#N/A</v>
      </c>
      <c r="EO15" s="380" t="e">
        <f t="shared" si="75"/>
        <v>#N/A</v>
      </c>
      <c r="EP15" s="380" t="e">
        <f t="shared" si="75"/>
        <v>#N/A</v>
      </c>
      <c r="EQ15" s="380" t="e">
        <f t="shared" si="75"/>
        <v>#N/A</v>
      </c>
      <c r="ER15" s="380" t="e">
        <f t="shared" si="75"/>
        <v>#N/A</v>
      </c>
      <c r="ES15" s="380" t="e">
        <f t="shared" si="75"/>
        <v>#N/A</v>
      </c>
      <c r="ET15" s="380" t="e">
        <f t="shared" si="75"/>
        <v>#N/A</v>
      </c>
      <c r="EU15" s="379" t="e">
        <f t="shared" ref="EU15:EU17" si="76">SUM(EK15:ET15)</f>
        <v>#N/A</v>
      </c>
      <c r="EV15" s="382"/>
      <c r="EW15" s="382"/>
      <c r="EX15" s="382"/>
      <c r="EY15" s="382"/>
      <c r="EZ15" s="382"/>
      <c r="FA15" s="382"/>
      <c r="FB15" s="382"/>
      <c r="FE15" s="583" t="s">
        <v>1659</v>
      </c>
      <c r="FF15" s="583"/>
      <c r="FG15" s="583"/>
      <c r="FH15" s="583"/>
    </row>
    <row r="16" spans="1:165" ht="35" customHeight="1" x14ac:dyDescent="0.3">
      <c r="A16" s="330"/>
      <c r="B16" s="318"/>
      <c r="C16" s="318"/>
      <c r="D16" s="318"/>
      <c r="E16" s="318"/>
      <c r="F16" s="318"/>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18"/>
      <c r="AM16" s="317"/>
      <c r="AN16" s="318"/>
      <c r="AO16" s="317"/>
      <c r="AP16" s="317"/>
      <c r="AQ16" s="317"/>
      <c r="AR16" s="317"/>
      <c r="AS16" s="317"/>
      <c r="AT16" s="317"/>
      <c r="AU16" s="318"/>
      <c r="AV16" s="318"/>
      <c r="AW16" s="318"/>
      <c r="AX16" s="318"/>
      <c r="AY16" s="318"/>
      <c r="AZ16" s="318"/>
      <c r="BA16" s="318"/>
      <c r="BB16" s="318"/>
      <c r="BC16" s="318"/>
      <c r="BD16" s="318"/>
      <c r="BE16" s="318"/>
      <c r="BF16" s="318"/>
      <c r="BG16" s="332">
        <f>(AU16*'Condition rating weights'!H$8+AV16*'Condition rating weights'!I$8+AW16*'Condition rating weights'!J$8+AX16*'Condition rating weights'!K$8+AY16*'Condition rating weights'!L$8+AZ16*'Condition rating weights'!M$8+BA16*'Condition rating weights'!N$8+BB16*'Condition rating weights'!O$8+BC16*'Condition rating weights'!P$8+BD16*'Condition rating weights'!Q$8+BE16*'Condition rating weights'!R$8+BF16*'Condition rating weights'!S$8)/100</f>
        <v>0</v>
      </c>
      <c r="BH16" s="333"/>
      <c r="BI16" s="333"/>
      <c r="BJ16" s="333"/>
      <c r="BK16" s="333"/>
      <c r="BL16" s="333"/>
      <c r="BM16" s="333"/>
      <c r="BN16" s="333"/>
      <c r="BO16" s="333"/>
      <c r="BP16" s="333"/>
      <c r="BQ16" s="333"/>
      <c r="BR16" s="333"/>
      <c r="BS16" s="333"/>
      <c r="BT16" s="334"/>
      <c r="BU16" s="335"/>
      <c r="BV16" s="255"/>
      <c r="BY16" s="144"/>
      <c r="BZ16" s="144"/>
      <c r="CA16" s="144"/>
      <c r="CB16" s="144"/>
      <c r="CC16" s="144"/>
      <c r="CD16" s="144"/>
      <c r="CE16" s="144"/>
      <c r="CF16" s="144"/>
      <c r="CG16" s="144"/>
      <c r="CH16" s="378" t="e">
        <f t="shared" si="6"/>
        <v>#N/A</v>
      </c>
      <c r="CI16" s="378" t="e">
        <f t="shared" si="7"/>
        <v>#N/A</v>
      </c>
      <c r="CJ16" s="378" t="e">
        <f t="shared" si="8"/>
        <v>#N/A</v>
      </c>
      <c r="CK16" s="378" t="e">
        <f t="shared" si="9"/>
        <v>#N/A</v>
      </c>
      <c r="CL16" s="378" t="e">
        <f t="shared" si="10"/>
        <v>#N/A</v>
      </c>
      <c r="CM16" s="378" t="e">
        <f t="shared" si="11"/>
        <v>#N/A</v>
      </c>
      <c r="CN16" s="378" t="e">
        <f t="shared" si="12"/>
        <v>#N/A</v>
      </c>
      <c r="CO16" s="378" t="e">
        <f t="shared" si="13"/>
        <v>#N/A</v>
      </c>
      <c r="CP16" s="378" t="e">
        <f t="shared" si="14"/>
        <v>#N/A</v>
      </c>
      <c r="CQ16" s="378" t="e">
        <f t="shared" si="15"/>
        <v>#N/A</v>
      </c>
      <c r="CR16" s="354" t="e">
        <f t="shared" si="71"/>
        <v>#N/A</v>
      </c>
      <c r="CS16" s="379" t="e">
        <f>(HLOOKUP($AI16,'Inflation Adjustments'!$B$3:$BT$4,2,TRUE))*CH16</f>
        <v>#N/A</v>
      </c>
      <c r="CT16" s="379" t="e">
        <f>(HLOOKUP($AI16,'Inflation Adjustments'!$B$3:$BT$4,2,TRUE))*CI16</f>
        <v>#N/A</v>
      </c>
      <c r="CU16" s="379" t="e">
        <f>(HLOOKUP($AI16,'Inflation Adjustments'!$B$3:$BT$4,2,TRUE))*CJ16</f>
        <v>#N/A</v>
      </c>
      <c r="CV16" s="379" t="e">
        <f>(HLOOKUP($AI16,'Inflation Adjustments'!$B$3:$BT$4,2,TRUE))*CK16</f>
        <v>#N/A</v>
      </c>
      <c r="CW16" s="379" t="e">
        <f>(HLOOKUP($AI16,'Inflation Adjustments'!$B$3:$BT$4,2,TRUE))*CL16</f>
        <v>#N/A</v>
      </c>
      <c r="CX16" s="379" t="e">
        <f>(HLOOKUP($AI16,'Inflation Adjustments'!$B$3:$BT$4,2,TRUE))*CM16</f>
        <v>#N/A</v>
      </c>
      <c r="CY16" s="379" t="e">
        <f>(HLOOKUP($AI16,'Inflation Adjustments'!$B$3:$BT$4,2,TRUE))*CN16</f>
        <v>#N/A</v>
      </c>
      <c r="CZ16" s="379" t="e">
        <f>(HLOOKUP($AI16,'Inflation Adjustments'!$B$3:$BT$4,2,TRUE))*CO16</f>
        <v>#N/A</v>
      </c>
      <c r="DA16" s="379" t="e">
        <f>(HLOOKUP($AI16,'Inflation Adjustments'!$B$3:$BT$4,2,TRUE))*CP16</f>
        <v>#N/A</v>
      </c>
      <c r="DB16" s="379" t="e">
        <f>(HLOOKUP($AI16,'Inflation Adjustments'!$B$3:$BT$4,2,TRUE))*CQ16</f>
        <v>#N/A</v>
      </c>
      <c r="DC16" s="379" t="e">
        <f t="shared" si="17"/>
        <v>#N/A</v>
      </c>
      <c r="DD16" s="354">
        <f t="shared" si="18"/>
        <v>2022</v>
      </c>
      <c r="DE16" s="378" t="e">
        <f t="shared" si="19"/>
        <v>#N/A</v>
      </c>
      <c r="DF16" s="378" t="e">
        <f t="shared" si="20"/>
        <v>#N/A</v>
      </c>
      <c r="DG16" s="378" t="e">
        <f t="shared" si="21"/>
        <v>#N/A</v>
      </c>
      <c r="DH16" s="378" t="e">
        <f t="shared" si="22"/>
        <v>#N/A</v>
      </c>
      <c r="DI16" s="378" t="e">
        <f t="shared" si="23"/>
        <v>#N/A</v>
      </c>
      <c r="DJ16" s="378" t="e">
        <f t="shared" si="24"/>
        <v>#N/A</v>
      </c>
      <c r="DK16" s="378" t="e">
        <f t="shared" si="25"/>
        <v>#N/A</v>
      </c>
      <c r="DL16" s="378" t="e">
        <f t="shared" si="26"/>
        <v>#N/A</v>
      </c>
      <c r="DM16" s="378" t="e">
        <f t="shared" si="27"/>
        <v>#N/A</v>
      </c>
      <c r="DN16" s="378" t="e">
        <f t="shared" si="28"/>
        <v>#N/A</v>
      </c>
      <c r="DO16" s="380" t="e">
        <f t="shared" si="72"/>
        <v>#N/A</v>
      </c>
      <c r="DP16" s="380" t="e">
        <f t="shared" si="72"/>
        <v>#N/A</v>
      </c>
      <c r="DQ16" s="380" t="e">
        <f t="shared" si="72"/>
        <v>#N/A</v>
      </c>
      <c r="DR16" s="380" t="e">
        <f t="shared" si="72"/>
        <v>#N/A</v>
      </c>
      <c r="DS16" s="380" t="e">
        <f t="shared" si="72"/>
        <v>#N/A</v>
      </c>
      <c r="DT16" s="380" t="e">
        <f t="shared" si="72"/>
        <v>#N/A</v>
      </c>
      <c r="DU16" s="380" t="e">
        <f t="shared" si="72"/>
        <v>#N/A</v>
      </c>
      <c r="DV16" s="380" t="e">
        <f t="shared" si="72"/>
        <v>#N/A</v>
      </c>
      <c r="DW16" s="380" t="e">
        <f t="shared" si="72"/>
        <v>#N/A</v>
      </c>
      <c r="DX16" s="380" t="e">
        <f t="shared" si="72"/>
        <v>#N/A</v>
      </c>
      <c r="DY16" s="380" t="e">
        <f t="shared" si="73"/>
        <v>#N/A</v>
      </c>
      <c r="DZ16" s="378" t="e">
        <f t="shared" si="40"/>
        <v>#N/A</v>
      </c>
      <c r="EA16" s="378" t="e">
        <f t="shared" si="41"/>
        <v>#N/A</v>
      </c>
      <c r="EB16" s="378" t="e">
        <f t="shared" si="42"/>
        <v>#N/A</v>
      </c>
      <c r="EC16" s="378" t="e">
        <f t="shared" si="43"/>
        <v>#N/A</v>
      </c>
      <c r="ED16" s="378" t="e">
        <f t="shared" si="44"/>
        <v>#N/A</v>
      </c>
      <c r="EE16" s="378" t="e">
        <f t="shared" si="45"/>
        <v>#N/A</v>
      </c>
      <c r="EF16" s="378" t="e">
        <f t="shared" si="46"/>
        <v>#N/A</v>
      </c>
      <c r="EG16" s="378" t="e">
        <f t="shared" si="47"/>
        <v>#N/A</v>
      </c>
      <c r="EH16" s="378" t="e">
        <f t="shared" si="48"/>
        <v>#N/A</v>
      </c>
      <c r="EI16" s="378" t="e">
        <f t="shared" si="49"/>
        <v>#N/A</v>
      </c>
      <c r="EJ16" s="354" t="e">
        <f t="shared" si="74"/>
        <v>#N/A</v>
      </c>
      <c r="EK16" s="380" t="e">
        <f t="shared" si="75"/>
        <v>#N/A</v>
      </c>
      <c r="EL16" s="380" t="e">
        <f t="shared" si="75"/>
        <v>#N/A</v>
      </c>
      <c r="EM16" s="380" t="e">
        <f t="shared" si="75"/>
        <v>#N/A</v>
      </c>
      <c r="EN16" s="380" t="e">
        <f t="shared" si="75"/>
        <v>#N/A</v>
      </c>
      <c r="EO16" s="380" t="e">
        <f t="shared" si="75"/>
        <v>#N/A</v>
      </c>
      <c r="EP16" s="380" t="e">
        <f t="shared" si="75"/>
        <v>#N/A</v>
      </c>
      <c r="EQ16" s="380" t="e">
        <f t="shared" si="75"/>
        <v>#N/A</v>
      </c>
      <c r="ER16" s="380" t="e">
        <f t="shared" si="75"/>
        <v>#N/A</v>
      </c>
      <c r="ES16" s="380" t="e">
        <f t="shared" si="75"/>
        <v>#N/A</v>
      </c>
      <c r="ET16" s="380" t="e">
        <f t="shared" si="75"/>
        <v>#N/A</v>
      </c>
      <c r="EU16" s="379" t="e">
        <f t="shared" si="76"/>
        <v>#N/A</v>
      </c>
      <c r="EV16" s="382"/>
      <c r="EW16" s="382"/>
      <c r="EX16" s="382"/>
      <c r="EY16" s="382"/>
      <c r="EZ16" s="382"/>
      <c r="FA16" s="382"/>
      <c r="FB16" s="382"/>
      <c r="FE16" s="583" t="s">
        <v>1659</v>
      </c>
      <c r="FF16" s="583"/>
      <c r="FG16" s="583"/>
      <c r="FH16" s="583"/>
    </row>
    <row r="17" spans="1:165" ht="35" customHeight="1" x14ac:dyDescent="0.3">
      <c r="A17" s="330"/>
      <c r="B17" s="318"/>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7"/>
      <c r="AN17" s="318"/>
      <c r="AO17" s="317"/>
      <c r="AP17" s="317"/>
      <c r="AQ17" s="317"/>
      <c r="AR17" s="317"/>
      <c r="AS17" s="317"/>
      <c r="AT17" s="317"/>
      <c r="AU17" s="318"/>
      <c r="AV17" s="318"/>
      <c r="AW17" s="318"/>
      <c r="AX17" s="318"/>
      <c r="AY17" s="318"/>
      <c r="AZ17" s="318"/>
      <c r="BA17" s="318"/>
      <c r="BB17" s="318"/>
      <c r="BC17" s="318"/>
      <c r="BD17" s="318"/>
      <c r="BE17" s="318"/>
      <c r="BF17" s="318"/>
      <c r="BG17" s="332">
        <f>(AU17*'Condition rating weights'!H$8+AV17*'Condition rating weights'!I$8+AW17*'Condition rating weights'!J$8+AX17*'Condition rating weights'!K$8+AY17*'Condition rating weights'!L$8+AZ17*'Condition rating weights'!M$8+BA17*'Condition rating weights'!N$8+BB17*'Condition rating weights'!O$8+BC17*'Condition rating weights'!P$8+BD17*'Condition rating weights'!Q$8+BE17*'Condition rating weights'!R$8+BF17*'Condition rating weights'!S$8)/100</f>
        <v>0</v>
      </c>
      <c r="BH17" s="333"/>
      <c r="BI17" s="333"/>
      <c r="BJ17" s="333"/>
      <c r="BK17" s="333"/>
      <c r="BL17" s="333"/>
      <c r="BM17" s="333"/>
      <c r="BN17" s="333"/>
      <c r="BO17" s="333"/>
      <c r="BP17" s="333"/>
      <c r="BQ17" s="333"/>
      <c r="BR17" s="333"/>
      <c r="BS17" s="333"/>
      <c r="BT17" s="334"/>
      <c r="BU17" s="335"/>
      <c r="BV17" s="255"/>
      <c r="BY17" s="144"/>
      <c r="BZ17" s="144"/>
      <c r="CA17" s="144"/>
      <c r="CB17" s="144"/>
      <c r="CC17" s="144"/>
      <c r="CD17" s="144"/>
      <c r="CE17" s="144"/>
      <c r="CF17" s="144"/>
      <c r="CG17" s="144"/>
      <c r="CH17" s="378" t="e">
        <f t="shared" si="6"/>
        <v>#N/A</v>
      </c>
      <c r="CI17" s="378" t="e">
        <f t="shared" si="7"/>
        <v>#N/A</v>
      </c>
      <c r="CJ17" s="378" t="e">
        <f t="shared" si="8"/>
        <v>#N/A</v>
      </c>
      <c r="CK17" s="378" t="e">
        <f t="shared" si="9"/>
        <v>#N/A</v>
      </c>
      <c r="CL17" s="378" t="e">
        <f t="shared" si="10"/>
        <v>#N/A</v>
      </c>
      <c r="CM17" s="378" t="e">
        <f t="shared" si="11"/>
        <v>#N/A</v>
      </c>
      <c r="CN17" s="378" t="e">
        <f t="shared" si="12"/>
        <v>#N/A</v>
      </c>
      <c r="CO17" s="378" t="e">
        <f t="shared" si="13"/>
        <v>#N/A</v>
      </c>
      <c r="CP17" s="378" t="e">
        <f t="shared" si="14"/>
        <v>#N/A</v>
      </c>
      <c r="CQ17" s="378" t="e">
        <f t="shared" si="15"/>
        <v>#N/A</v>
      </c>
      <c r="CR17" s="354" t="e">
        <f t="shared" si="71"/>
        <v>#N/A</v>
      </c>
      <c r="CS17" s="379" t="e">
        <f>(HLOOKUP($AI17,'Inflation Adjustments'!$B$3:$BT$4,2,TRUE))*CH17</f>
        <v>#N/A</v>
      </c>
      <c r="CT17" s="379" t="e">
        <f>(HLOOKUP($AI17,'Inflation Adjustments'!$B$3:$BT$4,2,TRUE))*CI17</f>
        <v>#N/A</v>
      </c>
      <c r="CU17" s="379" t="e">
        <f>(HLOOKUP($AI17,'Inflation Adjustments'!$B$3:$BT$4,2,TRUE))*CJ17</f>
        <v>#N/A</v>
      </c>
      <c r="CV17" s="379" t="e">
        <f>(HLOOKUP($AI17,'Inflation Adjustments'!$B$3:$BT$4,2,TRUE))*CK17</f>
        <v>#N/A</v>
      </c>
      <c r="CW17" s="379" t="e">
        <f>(HLOOKUP($AI17,'Inflation Adjustments'!$B$3:$BT$4,2,TRUE))*CL17</f>
        <v>#N/A</v>
      </c>
      <c r="CX17" s="379" t="e">
        <f>(HLOOKUP($AI17,'Inflation Adjustments'!$B$3:$BT$4,2,TRUE))*CM17</f>
        <v>#N/A</v>
      </c>
      <c r="CY17" s="379" t="e">
        <f>(HLOOKUP($AI17,'Inflation Adjustments'!$B$3:$BT$4,2,TRUE))*CN17</f>
        <v>#N/A</v>
      </c>
      <c r="CZ17" s="379" t="e">
        <f>(HLOOKUP($AI17,'Inflation Adjustments'!$B$3:$BT$4,2,TRUE))*CO17</f>
        <v>#N/A</v>
      </c>
      <c r="DA17" s="379" t="e">
        <f>(HLOOKUP($AI17,'Inflation Adjustments'!$B$3:$BT$4,2,TRUE))*CP17</f>
        <v>#N/A</v>
      </c>
      <c r="DB17" s="379" t="e">
        <f>(HLOOKUP($AI17,'Inflation Adjustments'!$B$3:$BT$4,2,TRUE))*CQ17</f>
        <v>#N/A</v>
      </c>
      <c r="DC17" s="379" t="e">
        <f t="shared" si="17"/>
        <v>#N/A</v>
      </c>
      <c r="DD17" s="354">
        <f t="shared" si="18"/>
        <v>2022</v>
      </c>
      <c r="DE17" s="378" t="e">
        <f t="shared" si="19"/>
        <v>#N/A</v>
      </c>
      <c r="DF17" s="378" t="e">
        <f t="shared" si="20"/>
        <v>#N/A</v>
      </c>
      <c r="DG17" s="378" t="e">
        <f t="shared" si="21"/>
        <v>#N/A</v>
      </c>
      <c r="DH17" s="378" t="e">
        <f t="shared" si="22"/>
        <v>#N/A</v>
      </c>
      <c r="DI17" s="378" t="e">
        <f t="shared" si="23"/>
        <v>#N/A</v>
      </c>
      <c r="DJ17" s="378" t="e">
        <f t="shared" si="24"/>
        <v>#N/A</v>
      </c>
      <c r="DK17" s="378" t="e">
        <f t="shared" si="25"/>
        <v>#N/A</v>
      </c>
      <c r="DL17" s="378" t="e">
        <f t="shared" si="26"/>
        <v>#N/A</v>
      </c>
      <c r="DM17" s="378" t="e">
        <f t="shared" si="27"/>
        <v>#N/A</v>
      </c>
      <c r="DN17" s="378" t="e">
        <f t="shared" si="28"/>
        <v>#N/A</v>
      </c>
      <c r="DO17" s="380" t="e">
        <f t="shared" si="72"/>
        <v>#N/A</v>
      </c>
      <c r="DP17" s="380" t="e">
        <f t="shared" si="72"/>
        <v>#N/A</v>
      </c>
      <c r="DQ17" s="380" t="e">
        <f t="shared" si="72"/>
        <v>#N/A</v>
      </c>
      <c r="DR17" s="380" t="e">
        <f t="shared" si="72"/>
        <v>#N/A</v>
      </c>
      <c r="DS17" s="380" t="e">
        <f t="shared" si="72"/>
        <v>#N/A</v>
      </c>
      <c r="DT17" s="380" t="e">
        <f t="shared" si="72"/>
        <v>#N/A</v>
      </c>
      <c r="DU17" s="380" t="e">
        <f t="shared" si="72"/>
        <v>#N/A</v>
      </c>
      <c r="DV17" s="380" t="e">
        <f t="shared" si="72"/>
        <v>#N/A</v>
      </c>
      <c r="DW17" s="380" t="e">
        <f t="shared" si="72"/>
        <v>#N/A</v>
      </c>
      <c r="DX17" s="380" t="e">
        <f t="shared" si="72"/>
        <v>#N/A</v>
      </c>
      <c r="DY17" s="380" t="e">
        <f t="shared" si="73"/>
        <v>#N/A</v>
      </c>
      <c r="DZ17" s="378" t="e">
        <f t="shared" si="40"/>
        <v>#N/A</v>
      </c>
      <c r="EA17" s="378" t="e">
        <f t="shared" si="41"/>
        <v>#N/A</v>
      </c>
      <c r="EB17" s="378" t="e">
        <f t="shared" si="42"/>
        <v>#N/A</v>
      </c>
      <c r="EC17" s="378" t="e">
        <f t="shared" si="43"/>
        <v>#N/A</v>
      </c>
      <c r="ED17" s="378" t="e">
        <f t="shared" si="44"/>
        <v>#N/A</v>
      </c>
      <c r="EE17" s="378" t="e">
        <f t="shared" si="45"/>
        <v>#N/A</v>
      </c>
      <c r="EF17" s="378" t="e">
        <f t="shared" si="46"/>
        <v>#N/A</v>
      </c>
      <c r="EG17" s="378" t="e">
        <f t="shared" si="47"/>
        <v>#N/A</v>
      </c>
      <c r="EH17" s="378" t="e">
        <f t="shared" si="48"/>
        <v>#N/A</v>
      </c>
      <c r="EI17" s="378" t="e">
        <f t="shared" si="49"/>
        <v>#N/A</v>
      </c>
      <c r="EJ17" s="354" t="e">
        <f t="shared" si="74"/>
        <v>#N/A</v>
      </c>
      <c r="EK17" s="380" t="e">
        <f t="shared" si="75"/>
        <v>#N/A</v>
      </c>
      <c r="EL17" s="380" t="e">
        <f t="shared" si="75"/>
        <v>#N/A</v>
      </c>
      <c r="EM17" s="380" t="e">
        <f t="shared" si="75"/>
        <v>#N/A</v>
      </c>
      <c r="EN17" s="380" t="e">
        <f t="shared" si="75"/>
        <v>#N/A</v>
      </c>
      <c r="EO17" s="380" t="e">
        <f t="shared" si="75"/>
        <v>#N/A</v>
      </c>
      <c r="EP17" s="380" t="e">
        <f t="shared" si="75"/>
        <v>#N/A</v>
      </c>
      <c r="EQ17" s="380" t="e">
        <f t="shared" si="75"/>
        <v>#N/A</v>
      </c>
      <c r="ER17" s="380" t="e">
        <f t="shared" si="75"/>
        <v>#N/A</v>
      </c>
      <c r="ES17" s="380" t="e">
        <f t="shared" si="75"/>
        <v>#N/A</v>
      </c>
      <c r="ET17" s="380" t="e">
        <f t="shared" si="75"/>
        <v>#N/A</v>
      </c>
      <c r="EU17" s="379" t="e">
        <f t="shared" si="76"/>
        <v>#N/A</v>
      </c>
      <c r="EV17" s="382"/>
      <c r="EW17" s="382"/>
      <c r="EX17" s="382"/>
      <c r="EY17" s="382"/>
      <c r="EZ17" s="382"/>
      <c r="FA17" s="382"/>
      <c r="FB17" s="382"/>
      <c r="FE17" s="583" t="s">
        <v>1659</v>
      </c>
      <c r="FF17" s="583"/>
      <c r="FG17" s="583"/>
      <c r="FH17" s="583"/>
      <c r="FI17" s="329"/>
    </row>
    <row r="18" spans="1:165" ht="35" customHeight="1" x14ac:dyDescent="0.3">
      <c r="A18" s="330"/>
      <c r="B18" s="318"/>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7"/>
      <c r="AN18" s="318"/>
      <c r="AO18" s="317"/>
      <c r="AP18" s="317"/>
      <c r="AQ18" s="317"/>
      <c r="AR18" s="317"/>
      <c r="AS18" s="317"/>
      <c r="AT18" s="317"/>
      <c r="AU18" s="318"/>
      <c r="AV18" s="318"/>
      <c r="AW18" s="318"/>
      <c r="AX18" s="318"/>
      <c r="AY18" s="318"/>
      <c r="AZ18" s="318"/>
      <c r="BA18" s="318"/>
      <c r="BB18" s="318"/>
      <c r="BC18" s="318"/>
      <c r="BD18" s="318"/>
      <c r="BE18" s="318"/>
      <c r="BF18" s="318"/>
      <c r="BG18" s="318"/>
      <c r="BH18" s="333"/>
      <c r="BI18" s="333"/>
      <c r="BJ18" s="333"/>
      <c r="BK18" s="333"/>
      <c r="BL18" s="333"/>
      <c r="BM18" s="333"/>
      <c r="BN18" s="333"/>
      <c r="BO18" s="333"/>
      <c r="BP18" s="333"/>
      <c r="BQ18" s="333"/>
      <c r="BR18" s="333"/>
      <c r="BS18" s="333"/>
      <c r="BT18" s="334"/>
      <c r="BU18" s="335"/>
      <c r="BV18" s="255"/>
      <c r="BY18" s="144"/>
      <c r="BZ18" s="144"/>
      <c r="CA18" s="144"/>
      <c r="CB18" s="144"/>
      <c r="CC18" s="144"/>
      <c r="CD18" s="144"/>
      <c r="CE18" s="144"/>
      <c r="CF18" s="144"/>
      <c r="CG18" s="144"/>
      <c r="CH18" s="378" t="e">
        <f t="shared" si="6"/>
        <v>#N/A</v>
      </c>
      <c r="CI18" s="378" t="e">
        <f t="shared" si="7"/>
        <v>#N/A</v>
      </c>
      <c r="CJ18" s="378" t="e">
        <f t="shared" si="8"/>
        <v>#N/A</v>
      </c>
      <c r="CK18" s="378" t="e">
        <f t="shared" si="9"/>
        <v>#N/A</v>
      </c>
      <c r="CL18" s="378" t="e">
        <f t="shared" si="10"/>
        <v>#N/A</v>
      </c>
      <c r="CM18" s="378" t="e">
        <f t="shared" si="11"/>
        <v>#N/A</v>
      </c>
      <c r="CN18" s="378" t="e">
        <f t="shared" si="12"/>
        <v>#N/A</v>
      </c>
      <c r="CO18" s="378" t="e">
        <f t="shared" si="13"/>
        <v>#N/A</v>
      </c>
      <c r="CP18" s="378" t="e">
        <f t="shared" si="14"/>
        <v>#N/A</v>
      </c>
      <c r="CQ18" s="378" t="e">
        <f t="shared" si="15"/>
        <v>#N/A</v>
      </c>
      <c r="CR18" s="354" t="e">
        <f>SUM(CH18:CQ18)</f>
        <v>#N/A</v>
      </c>
      <c r="CS18" s="379" t="e">
        <f>(HLOOKUP($AI18,'Inflation Adjustments'!$B$3:$BT$4,2,TRUE))*CH18</f>
        <v>#N/A</v>
      </c>
      <c r="CT18" s="379" t="e">
        <f>(HLOOKUP($AI18,'Inflation Adjustments'!$B$3:$BT$4,2,TRUE))*CI18</f>
        <v>#N/A</v>
      </c>
      <c r="CU18" s="379" t="e">
        <f>(HLOOKUP($AI18,'Inflation Adjustments'!$B$3:$BT$4,2,TRUE))*CJ18</f>
        <v>#N/A</v>
      </c>
      <c r="CV18" s="379" t="e">
        <f>(HLOOKUP($AI18,'Inflation Adjustments'!$B$3:$BT$4,2,TRUE))*CK18</f>
        <v>#N/A</v>
      </c>
      <c r="CW18" s="379" t="e">
        <f>(HLOOKUP($AI18,'Inflation Adjustments'!$B$3:$BT$4,2,TRUE))*CL18</f>
        <v>#N/A</v>
      </c>
      <c r="CX18" s="379" t="e">
        <f>(HLOOKUP($AI18,'Inflation Adjustments'!$B$3:$BT$4,2,TRUE))*CM18</f>
        <v>#N/A</v>
      </c>
      <c r="CY18" s="379" t="e">
        <f>(HLOOKUP($AI18,'Inflation Adjustments'!$B$3:$BT$4,2,TRUE))*CN18</f>
        <v>#N/A</v>
      </c>
      <c r="CZ18" s="379" t="e">
        <f>(HLOOKUP($AI18,'Inflation Adjustments'!$B$3:$BT$4,2,TRUE))*CO18</f>
        <v>#N/A</v>
      </c>
      <c r="DA18" s="379" t="e">
        <f>(HLOOKUP($AI18,'Inflation Adjustments'!$B$3:$BT$4,2,TRUE))*CP18</f>
        <v>#N/A</v>
      </c>
      <c r="DB18" s="379" t="e">
        <f>(HLOOKUP($AI18,'Inflation Adjustments'!$B$3:$BT$4,2,TRUE))*CQ18</f>
        <v>#N/A</v>
      </c>
      <c r="DC18" s="379" t="e">
        <f t="shared" si="17"/>
        <v>#N/A</v>
      </c>
      <c r="DD18" s="354">
        <f t="shared" si="18"/>
        <v>2022</v>
      </c>
      <c r="DE18" s="378" t="e">
        <f t="shared" si="19"/>
        <v>#N/A</v>
      </c>
      <c r="DF18" s="378" t="e">
        <f t="shared" si="20"/>
        <v>#N/A</v>
      </c>
      <c r="DG18" s="378" t="e">
        <f t="shared" si="21"/>
        <v>#N/A</v>
      </c>
      <c r="DH18" s="378" t="e">
        <f t="shared" si="22"/>
        <v>#N/A</v>
      </c>
      <c r="DI18" s="378" t="e">
        <f t="shared" si="23"/>
        <v>#N/A</v>
      </c>
      <c r="DJ18" s="378" t="e">
        <f t="shared" si="24"/>
        <v>#N/A</v>
      </c>
      <c r="DK18" s="378" t="e">
        <f t="shared" si="25"/>
        <v>#N/A</v>
      </c>
      <c r="DL18" s="378" t="e">
        <f t="shared" si="26"/>
        <v>#N/A</v>
      </c>
      <c r="DM18" s="378" t="e">
        <f t="shared" si="27"/>
        <v>#N/A</v>
      </c>
      <c r="DN18" s="378" t="e">
        <f t="shared" si="28"/>
        <v>#N/A</v>
      </c>
      <c r="DO18" s="380" t="e">
        <f t="shared" ref="DO18:DX21" si="77">CS18/DE18</f>
        <v>#N/A</v>
      </c>
      <c r="DP18" s="380" t="e">
        <f t="shared" si="77"/>
        <v>#N/A</v>
      </c>
      <c r="DQ18" s="380" t="e">
        <f t="shared" si="77"/>
        <v>#N/A</v>
      </c>
      <c r="DR18" s="380" t="e">
        <f t="shared" si="77"/>
        <v>#N/A</v>
      </c>
      <c r="DS18" s="380" t="e">
        <f t="shared" si="77"/>
        <v>#N/A</v>
      </c>
      <c r="DT18" s="380" t="e">
        <f t="shared" si="77"/>
        <v>#N/A</v>
      </c>
      <c r="DU18" s="380" t="e">
        <f t="shared" si="77"/>
        <v>#N/A</v>
      </c>
      <c r="DV18" s="380" t="e">
        <f t="shared" si="77"/>
        <v>#N/A</v>
      </c>
      <c r="DW18" s="380" t="e">
        <f t="shared" si="77"/>
        <v>#N/A</v>
      </c>
      <c r="DX18" s="380" t="e">
        <f t="shared" si="77"/>
        <v>#N/A</v>
      </c>
      <c r="DY18" s="380" t="e">
        <f>SUM(DO18:DX18)</f>
        <v>#N/A</v>
      </c>
      <c r="DZ18" s="378" t="e">
        <f t="shared" si="40"/>
        <v>#N/A</v>
      </c>
      <c r="EA18" s="378" t="e">
        <f t="shared" si="41"/>
        <v>#N/A</v>
      </c>
      <c r="EB18" s="378" t="e">
        <f t="shared" si="42"/>
        <v>#N/A</v>
      </c>
      <c r="EC18" s="378" t="e">
        <f t="shared" si="43"/>
        <v>#N/A</v>
      </c>
      <c r="ED18" s="378" t="e">
        <f t="shared" si="44"/>
        <v>#N/A</v>
      </c>
      <c r="EE18" s="378" t="e">
        <f t="shared" si="45"/>
        <v>#N/A</v>
      </c>
      <c r="EF18" s="378" t="e">
        <f t="shared" si="46"/>
        <v>#N/A</v>
      </c>
      <c r="EG18" s="378" t="e">
        <f t="shared" si="47"/>
        <v>#N/A</v>
      </c>
      <c r="EH18" s="378" t="e">
        <f t="shared" si="48"/>
        <v>#N/A</v>
      </c>
      <c r="EI18" s="378" t="e">
        <f t="shared" si="49"/>
        <v>#N/A</v>
      </c>
      <c r="EJ18" s="354" t="e">
        <f>SUM(DZ18:EI18)</f>
        <v>#N/A</v>
      </c>
      <c r="EK18" s="380" t="e">
        <f t="shared" ref="EK18:ET21" si="78">IF(DO18&lt;(CS18-DZ18),DO18,(CS18-DZ18))</f>
        <v>#N/A</v>
      </c>
      <c r="EL18" s="380" t="e">
        <f t="shared" si="78"/>
        <v>#N/A</v>
      </c>
      <c r="EM18" s="380" t="e">
        <f t="shared" si="78"/>
        <v>#N/A</v>
      </c>
      <c r="EN18" s="380" t="e">
        <f t="shared" si="78"/>
        <v>#N/A</v>
      </c>
      <c r="EO18" s="380" t="e">
        <f t="shared" si="78"/>
        <v>#N/A</v>
      </c>
      <c r="EP18" s="380" t="e">
        <f t="shared" si="78"/>
        <v>#N/A</v>
      </c>
      <c r="EQ18" s="380" t="e">
        <f t="shared" si="78"/>
        <v>#N/A</v>
      </c>
      <c r="ER18" s="380" t="e">
        <f t="shared" si="78"/>
        <v>#N/A</v>
      </c>
      <c r="ES18" s="380" t="e">
        <f t="shared" si="78"/>
        <v>#N/A</v>
      </c>
      <c r="ET18" s="380" t="e">
        <f t="shared" si="78"/>
        <v>#N/A</v>
      </c>
      <c r="EU18" s="379" t="e">
        <f>SUM(EK18:ET18)</f>
        <v>#N/A</v>
      </c>
      <c r="EV18" s="382"/>
      <c r="EW18" s="382"/>
      <c r="EX18" s="382"/>
      <c r="EY18" s="382"/>
      <c r="EZ18" s="382"/>
      <c r="FA18" s="382"/>
      <c r="FB18" s="382"/>
      <c r="FE18" s="583" t="s">
        <v>1659</v>
      </c>
      <c r="FF18" s="583"/>
      <c r="FG18" s="583"/>
      <c r="FH18" s="583"/>
    </row>
    <row r="19" spans="1:165" ht="35" customHeight="1" x14ac:dyDescent="0.3">
      <c r="A19" s="330"/>
      <c r="B19" s="331"/>
      <c r="C19" s="331"/>
      <c r="D19" s="331"/>
      <c r="E19" s="331"/>
      <c r="F19" s="331"/>
      <c r="G19" s="331"/>
      <c r="H19" s="331"/>
      <c r="I19" s="331"/>
      <c r="J19" s="331"/>
      <c r="K19" s="331"/>
      <c r="L19" s="331"/>
      <c r="M19" s="318"/>
      <c r="N19" s="331"/>
      <c r="O19" s="331"/>
      <c r="P19" s="331"/>
      <c r="Q19" s="331"/>
      <c r="R19" s="331"/>
      <c r="S19" s="331"/>
      <c r="T19" s="331"/>
      <c r="U19" s="331"/>
      <c r="V19" s="331"/>
      <c r="W19" s="331"/>
      <c r="X19" s="331"/>
      <c r="Y19" s="331"/>
      <c r="Z19" s="331"/>
      <c r="AA19" s="331"/>
      <c r="AB19" s="331"/>
      <c r="AC19" s="331"/>
      <c r="AD19" s="331"/>
      <c r="AE19" s="331"/>
      <c r="AF19" s="331"/>
      <c r="AG19" s="331"/>
      <c r="AH19" s="331"/>
      <c r="AI19" s="331"/>
      <c r="AJ19" s="331"/>
      <c r="AK19" s="331"/>
      <c r="AL19" s="331"/>
      <c r="AM19" s="413"/>
      <c r="AN19" s="331"/>
      <c r="AO19" s="413"/>
      <c r="AP19" s="413"/>
      <c r="AQ19" s="413"/>
      <c r="AR19" s="413"/>
      <c r="AS19" s="317"/>
      <c r="AT19" s="317"/>
      <c r="AU19" s="318"/>
      <c r="AV19" s="318"/>
      <c r="AW19" s="318"/>
      <c r="AX19" s="318"/>
      <c r="AY19" s="318"/>
      <c r="AZ19" s="318"/>
      <c r="BA19" s="331"/>
      <c r="BB19" s="331"/>
      <c r="BC19" s="331"/>
      <c r="BD19" s="331"/>
      <c r="BE19" s="331"/>
      <c r="BF19" s="318"/>
      <c r="BG19" s="318"/>
      <c r="BH19" s="414"/>
      <c r="BI19" s="414"/>
      <c r="BJ19" s="414"/>
      <c r="BK19" s="414"/>
      <c r="BL19" s="414"/>
      <c r="BM19" s="414"/>
      <c r="BN19" s="414"/>
      <c r="BO19" s="414"/>
      <c r="BP19" s="414"/>
      <c r="BQ19" s="414"/>
      <c r="BR19" s="414"/>
      <c r="BS19" s="414"/>
      <c r="BT19" s="415"/>
      <c r="BU19" s="335"/>
      <c r="BV19" s="255"/>
      <c r="BW19" s="361"/>
      <c r="BY19" s="144"/>
      <c r="BZ19" s="144"/>
      <c r="CA19" s="144"/>
      <c r="CB19" s="144"/>
      <c r="CC19" s="144"/>
      <c r="CD19" s="144"/>
      <c r="CE19" s="144"/>
      <c r="CF19" s="144"/>
      <c r="CG19" s="144"/>
      <c r="CH19" s="378" t="e">
        <f t="shared" si="6"/>
        <v>#N/A</v>
      </c>
      <c r="CI19" s="378" t="e">
        <f t="shared" si="7"/>
        <v>#N/A</v>
      </c>
      <c r="CJ19" s="378" t="e">
        <f t="shared" si="8"/>
        <v>#N/A</v>
      </c>
      <c r="CK19" s="378" t="e">
        <f t="shared" si="9"/>
        <v>#N/A</v>
      </c>
      <c r="CL19" s="378" t="e">
        <f t="shared" si="10"/>
        <v>#N/A</v>
      </c>
      <c r="CM19" s="378" t="e">
        <f t="shared" si="11"/>
        <v>#N/A</v>
      </c>
      <c r="CN19" s="378" t="e">
        <f t="shared" si="12"/>
        <v>#N/A</v>
      </c>
      <c r="CO19" s="378" t="e">
        <f t="shared" si="13"/>
        <v>#N/A</v>
      </c>
      <c r="CP19" s="378" t="e">
        <f t="shared" si="14"/>
        <v>#N/A</v>
      </c>
      <c r="CQ19" s="378" t="e">
        <f t="shared" si="15"/>
        <v>#N/A</v>
      </c>
      <c r="CR19" s="354" t="e">
        <f>SUM(CH19:CQ19)</f>
        <v>#N/A</v>
      </c>
      <c r="CS19" s="379" t="e">
        <f>(HLOOKUP($AI19,'Inflation Adjustments'!$B$3:$BT$4,2,TRUE))*CH19</f>
        <v>#N/A</v>
      </c>
      <c r="CT19" s="379" t="e">
        <f>(HLOOKUP($AI19,'Inflation Adjustments'!$B$3:$BT$4,2,TRUE))*CI19</f>
        <v>#N/A</v>
      </c>
      <c r="CU19" s="379" t="e">
        <f>(HLOOKUP($AI19,'Inflation Adjustments'!$B$3:$BT$4,2,TRUE))*CJ19</f>
        <v>#N/A</v>
      </c>
      <c r="CV19" s="379" t="e">
        <f>(HLOOKUP($AI19,'Inflation Adjustments'!$B$3:$BT$4,2,TRUE))*CK19</f>
        <v>#N/A</v>
      </c>
      <c r="CW19" s="379" t="e">
        <f>(HLOOKUP($AI19,'Inflation Adjustments'!$B$3:$BT$4,2,TRUE))*CL19</f>
        <v>#N/A</v>
      </c>
      <c r="CX19" s="379" t="e">
        <f>(HLOOKUP($AI19,'Inflation Adjustments'!$B$3:$BT$4,2,TRUE))*CM19</f>
        <v>#N/A</v>
      </c>
      <c r="CY19" s="379" t="e">
        <f>(HLOOKUP($AI19,'Inflation Adjustments'!$B$3:$BT$4,2,TRUE))*CN19</f>
        <v>#N/A</v>
      </c>
      <c r="CZ19" s="379" t="e">
        <f>(HLOOKUP($AI19,'Inflation Adjustments'!$B$3:$BT$4,2,TRUE))*CO19</f>
        <v>#N/A</v>
      </c>
      <c r="DA19" s="379" t="e">
        <f>(HLOOKUP($AI19,'Inflation Adjustments'!$B$3:$BT$4,2,TRUE))*CP19</f>
        <v>#N/A</v>
      </c>
      <c r="DB19" s="379" t="e">
        <f>(HLOOKUP($AI19,'Inflation Adjustments'!$B$3:$BT$4,2,TRUE))*CQ19</f>
        <v>#N/A</v>
      </c>
      <c r="DC19" s="379" t="e">
        <f t="shared" si="17"/>
        <v>#N/A</v>
      </c>
      <c r="DD19" s="354">
        <f t="shared" si="18"/>
        <v>2022</v>
      </c>
      <c r="DE19" s="378" t="e">
        <f t="shared" si="19"/>
        <v>#N/A</v>
      </c>
      <c r="DF19" s="378" t="e">
        <f t="shared" si="20"/>
        <v>#N/A</v>
      </c>
      <c r="DG19" s="378" t="e">
        <f t="shared" si="21"/>
        <v>#N/A</v>
      </c>
      <c r="DH19" s="378" t="e">
        <f t="shared" si="22"/>
        <v>#N/A</v>
      </c>
      <c r="DI19" s="378" t="e">
        <f t="shared" si="23"/>
        <v>#N/A</v>
      </c>
      <c r="DJ19" s="378" t="e">
        <f t="shared" si="24"/>
        <v>#N/A</v>
      </c>
      <c r="DK19" s="378" t="e">
        <f t="shared" si="25"/>
        <v>#N/A</v>
      </c>
      <c r="DL19" s="378" t="e">
        <f t="shared" si="26"/>
        <v>#N/A</v>
      </c>
      <c r="DM19" s="378" t="e">
        <f t="shared" si="27"/>
        <v>#N/A</v>
      </c>
      <c r="DN19" s="378" t="e">
        <f t="shared" si="28"/>
        <v>#N/A</v>
      </c>
      <c r="DO19" s="380" t="e">
        <f t="shared" si="77"/>
        <v>#N/A</v>
      </c>
      <c r="DP19" s="380" t="e">
        <f t="shared" si="77"/>
        <v>#N/A</v>
      </c>
      <c r="DQ19" s="380" t="e">
        <f t="shared" si="77"/>
        <v>#N/A</v>
      </c>
      <c r="DR19" s="380" t="e">
        <f t="shared" si="77"/>
        <v>#N/A</v>
      </c>
      <c r="DS19" s="380" t="e">
        <f t="shared" si="77"/>
        <v>#N/A</v>
      </c>
      <c r="DT19" s="380" t="e">
        <f t="shared" si="77"/>
        <v>#N/A</v>
      </c>
      <c r="DU19" s="380" t="e">
        <f t="shared" si="77"/>
        <v>#N/A</v>
      </c>
      <c r="DV19" s="380" t="e">
        <f t="shared" si="77"/>
        <v>#N/A</v>
      </c>
      <c r="DW19" s="380" t="e">
        <f t="shared" si="77"/>
        <v>#N/A</v>
      </c>
      <c r="DX19" s="380" t="e">
        <f t="shared" si="77"/>
        <v>#N/A</v>
      </c>
      <c r="DY19" s="380" t="e">
        <f>SUM(DO19:DX19)</f>
        <v>#N/A</v>
      </c>
      <c r="DZ19" s="378" t="e">
        <f t="shared" si="40"/>
        <v>#N/A</v>
      </c>
      <c r="EA19" s="378" t="e">
        <f t="shared" si="41"/>
        <v>#N/A</v>
      </c>
      <c r="EB19" s="378" t="e">
        <f t="shared" si="42"/>
        <v>#N/A</v>
      </c>
      <c r="EC19" s="378" t="e">
        <f t="shared" si="43"/>
        <v>#N/A</v>
      </c>
      <c r="ED19" s="378" t="e">
        <f t="shared" si="44"/>
        <v>#N/A</v>
      </c>
      <c r="EE19" s="378" t="e">
        <f t="shared" si="45"/>
        <v>#N/A</v>
      </c>
      <c r="EF19" s="378" t="e">
        <f t="shared" si="46"/>
        <v>#N/A</v>
      </c>
      <c r="EG19" s="378" t="e">
        <f t="shared" si="47"/>
        <v>#N/A</v>
      </c>
      <c r="EH19" s="378" t="e">
        <f t="shared" si="48"/>
        <v>#N/A</v>
      </c>
      <c r="EI19" s="378" t="e">
        <f t="shared" si="49"/>
        <v>#N/A</v>
      </c>
      <c r="EJ19" s="354" t="e">
        <f>SUM(DZ19:EI19)</f>
        <v>#N/A</v>
      </c>
      <c r="EK19" s="380" t="e">
        <f t="shared" si="78"/>
        <v>#N/A</v>
      </c>
      <c r="EL19" s="380" t="e">
        <f t="shared" si="78"/>
        <v>#N/A</v>
      </c>
      <c r="EM19" s="380" t="e">
        <f t="shared" si="78"/>
        <v>#N/A</v>
      </c>
      <c r="EN19" s="380" t="e">
        <f t="shared" si="78"/>
        <v>#N/A</v>
      </c>
      <c r="EO19" s="380" t="e">
        <f t="shared" si="78"/>
        <v>#N/A</v>
      </c>
      <c r="EP19" s="380" t="e">
        <f t="shared" si="78"/>
        <v>#N/A</v>
      </c>
      <c r="EQ19" s="380" t="e">
        <f t="shared" si="78"/>
        <v>#N/A</v>
      </c>
      <c r="ER19" s="380" t="e">
        <f t="shared" si="78"/>
        <v>#N/A</v>
      </c>
      <c r="ES19" s="380" t="e">
        <f t="shared" si="78"/>
        <v>#N/A</v>
      </c>
      <c r="ET19" s="380" t="e">
        <f t="shared" si="78"/>
        <v>#N/A</v>
      </c>
      <c r="EU19" s="379" t="e">
        <f>SUM(EK19:ET19)</f>
        <v>#N/A</v>
      </c>
      <c r="EV19" s="382"/>
      <c r="EW19" s="382"/>
      <c r="EX19" s="382"/>
      <c r="EY19" s="382"/>
      <c r="EZ19" s="382"/>
      <c r="FA19" s="382"/>
      <c r="FB19" s="382"/>
      <c r="FE19" s="583" t="s">
        <v>1663</v>
      </c>
      <c r="FF19" s="583"/>
      <c r="FG19" s="583"/>
      <c r="FH19" s="583"/>
    </row>
    <row r="20" spans="1:165" ht="35" customHeight="1" x14ac:dyDescent="0.3">
      <c r="A20" s="318"/>
      <c r="B20" s="318"/>
      <c r="C20" s="318"/>
      <c r="D20" s="318"/>
      <c r="E20" s="318"/>
      <c r="F20" s="318"/>
      <c r="G20" s="318"/>
      <c r="H20" s="318"/>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18"/>
      <c r="AI20" s="318"/>
      <c r="AJ20" s="318"/>
      <c r="AK20" s="318"/>
      <c r="AL20" s="318"/>
      <c r="AM20" s="317"/>
      <c r="AN20" s="318"/>
      <c r="AO20" s="317"/>
      <c r="AP20" s="317"/>
      <c r="AQ20" s="317"/>
      <c r="AR20" s="317"/>
      <c r="AS20" s="317"/>
      <c r="AT20" s="317"/>
      <c r="AU20" s="318"/>
      <c r="AV20" s="318"/>
      <c r="AW20" s="318"/>
      <c r="AX20" s="318"/>
      <c r="AY20" s="318"/>
      <c r="AZ20" s="318"/>
      <c r="BA20" s="318"/>
      <c r="BB20" s="318"/>
      <c r="BC20" s="318"/>
      <c r="BD20" s="318"/>
      <c r="BE20" s="318"/>
      <c r="BF20" s="318"/>
      <c r="BG20" s="318"/>
      <c r="BH20" s="333"/>
      <c r="BI20" s="333"/>
      <c r="BJ20" s="333"/>
      <c r="BK20" s="333"/>
      <c r="BL20" s="333"/>
      <c r="BM20" s="333"/>
      <c r="BN20" s="333"/>
      <c r="BO20" s="333"/>
      <c r="BP20" s="333"/>
      <c r="BQ20" s="333"/>
      <c r="BR20" s="333"/>
      <c r="BS20" s="333"/>
      <c r="BT20" s="334"/>
      <c r="BU20" s="335"/>
      <c r="BV20" s="255"/>
      <c r="BY20" s="144"/>
      <c r="BZ20" s="144"/>
      <c r="CA20" s="144"/>
      <c r="CB20" s="144"/>
      <c r="CC20" s="144"/>
      <c r="CD20" s="144"/>
      <c r="CE20" s="144"/>
      <c r="CF20" s="144"/>
      <c r="CG20" s="144"/>
      <c r="CH20" s="378" t="e">
        <f t="shared" si="6"/>
        <v>#N/A</v>
      </c>
      <c r="CI20" s="378" t="e">
        <f t="shared" si="7"/>
        <v>#N/A</v>
      </c>
      <c r="CJ20" s="378" t="e">
        <f t="shared" si="8"/>
        <v>#N/A</v>
      </c>
      <c r="CK20" s="378" t="e">
        <f t="shared" si="9"/>
        <v>#N/A</v>
      </c>
      <c r="CL20" s="378" t="e">
        <f t="shared" si="10"/>
        <v>#N/A</v>
      </c>
      <c r="CM20" s="378" t="e">
        <f t="shared" si="11"/>
        <v>#N/A</v>
      </c>
      <c r="CN20" s="378" t="e">
        <f t="shared" si="12"/>
        <v>#N/A</v>
      </c>
      <c r="CO20" s="378" t="e">
        <f t="shared" si="13"/>
        <v>#N/A</v>
      </c>
      <c r="CP20" s="378" t="e">
        <f t="shared" si="14"/>
        <v>#N/A</v>
      </c>
      <c r="CQ20" s="378" t="e">
        <f t="shared" si="15"/>
        <v>#N/A</v>
      </c>
      <c r="CR20" s="354" t="e">
        <f>SUM(CH20:CQ20)</f>
        <v>#N/A</v>
      </c>
      <c r="CS20" s="379" t="e">
        <f>(HLOOKUP($AI20,'Inflation Adjustments'!$B$3:$BT$4,2,TRUE))*CH20</f>
        <v>#N/A</v>
      </c>
      <c r="CT20" s="379" t="e">
        <f>(HLOOKUP($AI20,'Inflation Adjustments'!$B$3:$BT$4,2,TRUE))*CI20</f>
        <v>#N/A</v>
      </c>
      <c r="CU20" s="379" t="e">
        <f>(HLOOKUP($AI20,'Inflation Adjustments'!$B$3:$BT$4,2,TRUE))*CJ20</f>
        <v>#N/A</v>
      </c>
      <c r="CV20" s="379" t="e">
        <f>(HLOOKUP($AI20,'Inflation Adjustments'!$B$3:$BT$4,2,TRUE))*CK20</f>
        <v>#N/A</v>
      </c>
      <c r="CW20" s="379" t="e">
        <f>(HLOOKUP($AI20,'Inflation Adjustments'!$B$3:$BT$4,2,TRUE))*CL20</f>
        <v>#N/A</v>
      </c>
      <c r="CX20" s="379" t="e">
        <f>(HLOOKUP($AI20,'Inflation Adjustments'!$B$3:$BT$4,2,TRUE))*CM20</f>
        <v>#N/A</v>
      </c>
      <c r="CY20" s="379" t="e">
        <f>(HLOOKUP($AI20,'Inflation Adjustments'!$B$3:$BT$4,2,TRUE))*CN20</f>
        <v>#N/A</v>
      </c>
      <c r="CZ20" s="379" t="e">
        <f>(HLOOKUP($AI20,'Inflation Adjustments'!$B$3:$BT$4,2,TRUE))*CO20</f>
        <v>#N/A</v>
      </c>
      <c r="DA20" s="379" t="e">
        <f>(HLOOKUP($AI20,'Inflation Adjustments'!$B$3:$BT$4,2,TRUE))*CP20</f>
        <v>#N/A</v>
      </c>
      <c r="DB20" s="379" t="e">
        <f>(HLOOKUP($AI20,'Inflation Adjustments'!$B$3:$BT$4,2,TRUE))*CQ20</f>
        <v>#N/A</v>
      </c>
      <c r="DC20" s="379" t="e">
        <f t="shared" si="17"/>
        <v>#N/A</v>
      </c>
      <c r="DD20" s="354">
        <f t="shared" si="18"/>
        <v>2022</v>
      </c>
      <c r="DE20" s="378" t="e">
        <f t="shared" si="19"/>
        <v>#N/A</v>
      </c>
      <c r="DF20" s="378" t="e">
        <f t="shared" si="20"/>
        <v>#N/A</v>
      </c>
      <c r="DG20" s="378" t="e">
        <f t="shared" si="21"/>
        <v>#N/A</v>
      </c>
      <c r="DH20" s="378" t="e">
        <f t="shared" si="22"/>
        <v>#N/A</v>
      </c>
      <c r="DI20" s="378" t="e">
        <f t="shared" si="23"/>
        <v>#N/A</v>
      </c>
      <c r="DJ20" s="378" t="e">
        <f t="shared" si="24"/>
        <v>#N/A</v>
      </c>
      <c r="DK20" s="378" t="e">
        <f t="shared" si="25"/>
        <v>#N/A</v>
      </c>
      <c r="DL20" s="378" t="e">
        <f t="shared" si="26"/>
        <v>#N/A</v>
      </c>
      <c r="DM20" s="378" t="e">
        <f t="shared" si="27"/>
        <v>#N/A</v>
      </c>
      <c r="DN20" s="378" t="e">
        <f t="shared" si="28"/>
        <v>#N/A</v>
      </c>
      <c r="DO20" s="380" t="e">
        <f t="shared" si="77"/>
        <v>#N/A</v>
      </c>
      <c r="DP20" s="380" t="e">
        <f t="shared" si="77"/>
        <v>#N/A</v>
      </c>
      <c r="DQ20" s="380" t="e">
        <f t="shared" si="77"/>
        <v>#N/A</v>
      </c>
      <c r="DR20" s="380" t="e">
        <f t="shared" si="77"/>
        <v>#N/A</v>
      </c>
      <c r="DS20" s="380" t="e">
        <f t="shared" si="77"/>
        <v>#N/A</v>
      </c>
      <c r="DT20" s="380" t="e">
        <f t="shared" si="77"/>
        <v>#N/A</v>
      </c>
      <c r="DU20" s="380" t="e">
        <f t="shared" si="77"/>
        <v>#N/A</v>
      </c>
      <c r="DV20" s="380" t="e">
        <f t="shared" si="77"/>
        <v>#N/A</v>
      </c>
      <c r="DW20" s="380" t="e">
        <f t="shared" si="77"/>
        <v>#N/A</v>
      </c>
      <c r="DX20" s="380" t="e">
        <f t="shared" si="77"/>
        <v>#N/A</v>
      </c>
      <c r="DY20" s="380" t="e">
        <f>SUM(DO20:DX20)</f>
        <v>#N/A</v>
      </c>
      <c r="DZ20" s="378" t="e">
        <f t="shared" si="40"/>
        <v>#N/A</v>
      </c>
      <c r="EA20" s="378" t="e">
        <f t="shared" si="41"/>
        <v>#N/A</v>
      </c>
      <c r="EB20" s="378" t="e">
        <f t="shared" si="42"/>
        <v>#N/A</v>
      </c>
      <c r="EC20" s="378" t="e">
        <f t="shared" si="43"/>
        <v>#N/A</v>
      </c>
      <c r="ED20" s="378" t="e">
        <f t="shared" si="44"/>
        <v>#N/A</v>
      </c>
      <c r="EE20" s="378" t="e">
        <f t="shared" si="45"/>
        <v>#N/A</v>
      </c>
      <c r="EF20" s="378" t="e">
        <f t="shared" si="46"/>
        <v>#N/A</v>
      </c>
      <c r="EG20" s="378" t="e">
        <f t="shared" si="47"/>
        <v>#N/A</v>
      </c>
      <c r="EH20" s="378" t="e">
        <f t="shared" si="48"/>
        <v>#N/A</v>
      </c>
      <c r="EI20" s="378" t="e">
        <f t="shared" si="49"/>
        <v>#N/A</v>
      </c>
      <c r="EJ20" s="354" t="e">
        <f>SUM(DZ20:EI20)</f>
        <v>#N/A</v>
      </c>
      <c r="EK20" s="380" t="e">
        <f t="shared" si="78"/>
        <v>#N/A</v>
      </c>
      <c r="EL20" s="380" t="e">
        <f t="shared" si="78"/>
        <v>#N/A</v>
      </c>
      <c r="EM20" s="380" t="e">
        <f t="shared" si="78"/>
        <v>#N/A</v>
      </c>
      <c r="EN20" s="380" t="e">
        <f t="shared" si="78"/>
        <v>#N/A</v>
      </c>
      <c r="EO20" s="380" t="e">
        <f t="shared" si="78"/>
        <v>#N/A</v>
      </c>
      <c r="EP20" s="380" t="e">
        <f t="shared" si="78"/>
        <v>#N/A</v>
      </c>
      <c r="EQ20" s="380" t="e">
        <f t="shared" si="78"/>
        <v>#N/A</v>
      </c>
      <c r="ER20" s="380" t="e">
        <f t="shared" si="78"/>
        <v>#N/A</v>
      </c>
      <c r="ES20" s="380" t="e">
        <f t="shared" si="78"/>
        <v>#N/A</v>
      </c>
      <c r="ET20" s="380" t="e">
        <f t="shared" si="78"/>
        <v>#N/A</v>
      </c>
      <c r="EU20" s="379" t="e">
        <f>SUM(EK20:ET20)</f>
        <v>#N/A</v>
      </c>
      <c r="EV20" s="382"/>
      <c r="EW20" s="382"/>
      <c r="EX20" s="382"/>
      <c r="EY20" s="382"/>
      <c r="EZ20" s="382"/>
      <c r="FA20" s="382"/>
      <c r="FB20" s="382"/>
      <c r="FE20" s="583" t="s">
        <v>1679</v>
      </c>
      <c r="FF20" s="583"/>
      <c r="FG20" s="583"/>
      <c r="FH20" s="583"/>
    </row>
    <row r="21" spans="1:165" ht="35" customHeight="1" x14ac:dyDescent="0.3">
      <c r="A21" s="318"/>
      <c r="B21" s="318"/>
      <c r="C21" s="318"/>
      <c r="D21" s="318"/>
      <c r="E21" s="318"/>
      <c r="F21" s="318"/>
      <c r="G21" s="318"/>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7"/>
      <c r="AN21" s="318"/>
      <c r="AO21" s="317"/>
      <c r="AP21" s="317"/>
      <c r="AQ21" s="317"/>
      <c r="AR21" s="317"/>
      <c r="AS21" s="317"/>
      <c r="AT21" s="317"/>
      <c r="AU21" s="318"/>
      <c r="AV21" s="318"/>
      <c r="AW21" s="318"/>
      <c r="AX21" s="318"/>
      <c r="AY21" s="318"/>
      <c r="AZ21" s="318"/>
      <c r="BA21" s="318"/>
      <c r="BB21" s="318"/>
      <c r="BC21" s="318"/>
      <c r="BD21" s="318"/>
      <c r="BE21" s="318"/>
      <c r="BF21" s="318"/>
      <c r="BG21" s="318"/>
      <c r="BH21" s="333"/>
      <c r="BI21" s="333"/>
      <c r="BJ21" s="333"/>
      <c r="BK21" s="333"/>
      <c r="BL21" s="333"/>
      <c r="BM21" s="333"/>
      <c r="BN21" s="333"/>
      <c r="BO21" s="333"/>
      <c r="BP21" s="333"/>
      <c r="BQ21" s="333"/>
      <c r="BR21" s="333"/>
      <c r="BS21" s="333"/>
      <c r="BT21" s="334"/>
      <c r="BU21" s="335"/>
      <c r="BV21" s="255"/>
      <c r="BY21" s="144"/>
      <c r="BZ21" s="144"/>
      <c r="CA21" s="144"/>
      <c r="CB21" s="144"/>
      <c r="CC21" s="144"/>
      <c r="CD21" s="144"/>
      <c r="CE21" s="144"/>
      <c r="CF21" s="144"/>
      <c r="CG21" s="144"/>
      <c r="CH21" s="378" t="e">
        <f t="shared" si="6"/>
        <v>#N/A</v>
      </c>
      <c r="CI21" s="378" t="e">
        <f t="shared" si="7"/>
        <v>#N/A</v>
      </c>
      <c r="CJ21" s="378" t="e">
        <f t="shared" si="8"/>
        <v>#N/A</v>
      </c>
      <c r="CK21" s="378" t="e">
        <f t="shared" si="9"/>
        <v>#N/A</v>
      </c>
      <c r="CL21" s="378" t="e">
        <f t="shared" si="10"/>
        <v>#N/A</v>
      </c>
      <c r="CM21" s="378" t="e">
        <f t="shared" si="11"/>
        <v>#N/A</v>
      </c>
      <c r="CN21" s="378" t="e">
        <f t="shared" si="12"/>
        <v>#N/A</v>
      </c>
      <c r="CO21" s="378" t="e">
        <f t="shared" si="13"/>
        <v>#N/A</v>
      </c>
      <c r="CP21" s="378" t="e">
        <f t="shared" si="14"/>
        <v>#N/A</v>
      </c>
      <c r="CQ21" s="378" t="e">
        <f t="shared" si="15"/>
        <v>#N/A</v>
      </c>
      <c r="CR21" s="354" t="e">
        <f>SUM(CH21:CQ21)</f>
        <v>#N/A</v>
      </c>
      <c r="CS21" s="379" t="e">
        <f>(HLOOKUP($AI21,'Inflation Adjustments'!$B$3:$BT$4,2,TRUE))*CH21</f>
        <v>#N/A</v>
      </c>
      <c r="CT21" s="379" t="e">
        <f>(HLOOKUP($AI21,'Inflation Adjustments'!$B$3:$BT$4,2,TRUE))*CI21</f>
        <v>#N/A</v>
      </c>
      <c r="CU21" s="379" t="e">
        <f>(HLOOKUP($AI21,'Inflation Adjustments'!$B$3:$BT$4,2,TRUE))*CJ21</f>
        <v>#N/A</v>
      </c>
      <c r="CV21" s="379" t="e">
        <f>(HLOOKUP($AI21,'Inflation Adjustments'!$B$3:$BT$4,2,TRUE))*CK21</f>
        <v>#N/A</v>
      </c>
      <c r="CW21" s="379" t="e">
        <f>(HLOOKUP($AI21,'Inflation Adjustments'!$B$3:$BT$4,2,TRUE))*CL21</f>
        <v>#N/A</v>
      </c>
      <c r="CX21" s="379" t="e">
        <f>(HLOOKUP($AI21,'Inflation Adjustments'!$B$3:$BT$4,2,TRUE))*CM21</f>
        <v>#N/A</v>
      </c>
      <c r="CY21" s="379" t="e">
        <f>(HLOOKUP($AI21,'Inflation Adjustments'!$B$3:$BT$4,2,TRUE))*CN21</f>
        <v>#N/A</v>
      </c>
      <c r="CZ21" s="379" t="e">
        <f>(HLOOKUP($AI21,'Inflation Adjustments'!$B$3:$BT$4,2,TRUE))*CO21</f>
        <v>#N/A</v>
      </c>
      <c r="DA21" s="379" t="e">
        <f>(HLOOKUP($AI21,'Inflation Adjustments'!$B$3:$BT$4,2,TRUE))*CP21</f>
        <v>#N/A</v>
      </c>
      <c r="DB21" s="379" t="e">
        <f>(HLOOKUP($AI21,'Inflation Adjustments'!$B$3:$BT$4,2,TRUE))*CQ21</f>
        <v>#N/A</v>
      </c>
      <c r="DC21" s="379" t="e">
        <f t="shared" si="17"/>
        <v>#N/A</v>
      </c>
      <c r="DD21" s="354">
        <f t="shared" si="18"/>
        <v>2022</v>
      </c>
      <c r="DE21" s="378" t="e">
        <f t="shared" si="19"/>
        <v>#N/A</v>
      </c>
      <c r="DF21" s="378" t="e">
        <f t="shared" si="20"/>
        <v>#N/A</v>
      </c>
      <c r="DG21" s="378" t="e">
        <f t="shared" si="21"/>
        <v>#N/A</v>
      </c>
      <c r="DH21" s="378" t="e">
        <f t="shared" si="22"/>
        <v>#N/A</v>
      </c>
      <c r="DI21" s="378" t="e">
        <f t="shared" si="23"/>
        <v>#N/A</v>
      </c>
      <c r="DJ21" s="378" t="e">
        <f t="shared" si="24"/>
        <v>#N/A</v>
      </c>
      <c r="DK21" s="378" t="e">
        <f t="shared" si="25"/>
        <v>#N/A</v>
      </c>
      <c r="DL21" s="378" t="e">
        <f t="shared" si="26"/>
        <v>#N/A</v>
      </c>
      <c r="DM21" s="378" t="e">
        <f t="shared" si="27"/>
        <v>#N/A</v>
      </c>
      <c r="DN21" s="378" t="e">
        <f t="shared" si="28"/>
        <v>#N/A</v>
      </c>
      <c r="DO21" s="380" t="e">
        <f t="shared" si="77"/>
        <v>#N/A</v>
      </c>
      <c r="DP21" s="380" t="e">
        <f t="shared" si="77"/>
        <v>#N/A</v>
      </c>
      <c r="DQ21" s="380" t="e">
        <f t="shared" si="77"/>
        <v>#N/A</v>
      </c>
      <c r="DR21" s="380" t="e">
        <f t="shared" si="77"/>
        <v>#N/A</v>
      </c>
      <c r="DS21" s="380" t="e">
        <f t="shared" si="77"/>
        <v>#N/A</v>
      </c>
      <c r="DT21" s="380" t="e">
        <f t="shared" si="77"/>
        <v>#N/A</v>
      </c>
      <c r="DU21" s="380" t="e">
        <f t="shared" si="77"/>
        <v>#N/A</v>
      </c>
      <c r="DV21" s="380" t="e">
        <f t="shared" si="77"/>
        <v>#N/A</v>
      </c>
      <c r="DW21" s="380" t="e">
        <f t="shared" si="77"/>
        <v>#N/A</v>
      </c>
      <c r="DX21" s="380" t="e">
        <f t="shared" si="77"/>
        <v>#N/A</v>
      </c>
      <c r="DY21" s="380" t="e">
        <f>SUM(DO21:DX21)</f>
        <v>#N/A</v>
      </c>
      <c r="DZ21" s="378" t="e">
        <f t="shared" si="40"/>
        <v>#N/A</v>
      </c>
      <c r="EA21" s="378" t="e">
        <f t="shared" si="41"/>
        <v>#N/A</v>
      </c>
      <c r="EB21" s="378" t="e">
        <f t="shared" si="42"/>
        <v>#N/A</v>
      </c>
      <c r="EC21" s="378" t="e">
        <f t="shared" si="43"/>
        <v>#N/A</v>
      </c>
      <c r="ED21" s="378" t="e">
        <f t="shared" si="44"/>
        <v>#N/A</v>
      </c>
      <c r="EE21" s="378" t="e">
        <f t="shared" si="45"/>
        <v>#N/A</v>
      </c>
      <c r="EF21" s="378" t="e">
        <f t="shared" si="46"/>
        <v>#N/A</v>
      </c>
      <c r="EG21" s="378" t="e">
        <f t="shared" si="47"/>
        <v>#N/A</v>
      </c>
      <c r="EH21" s="378" t="e">
        <f t="shared" si="48"/>
        <v>#N/A</v>
      </c>
      <c r="EI21" s="378" t="e">
        <f t="shared" si="49"/>
        <v>#N/A</v>
      </c>
      <c r="EJ21" s="354" t="e">
        <f>SUM(DZ21:EI21)</f>
        <v>#N/A</v>
      </c>
      <c r="EK21" s="380" t="e">
        <f t="shared" si="78"/>
        <v>#N/A</v>
      </c>
      <c r="EL21" s="380" t="e">
        <f t="shared" si="78"/>
        <v>#N/A</v>
      </c>
      <c r="EM21" s="380" t="e">
        <f t="shared" si="78"/>
        <v>#N/A</v>
      </c>
      <c r="EN21" s="380" t="e">
        <f t="shared" si="78"/>
        <v>#N/A</v>
      </c>
      <c r="EO21" s="380" t="e">
        <f t="shared" si="78"/>
        <v>#N/A</v>
      </c>
      <c r="EP21" s="380" t="e">
        <f t="shared" si="78"/>
        <v>#N/A</v>
      </c>
      <c r="EQ21" s="380" t="e">
        <f t="shared" si="78"/>
        <v>#N/A</v>
      </c>
      <c r="ER21" s="380" t="e">
        <f t="shared" si="78"/>
        <v>#N/A</v>
      </c>
      <c r="ES21" s="380" t="e">
        <f t="shared" si="78"/>
        <v>#N/A</v>
      </c>
      <c r="ET21" s="380" t="e">
        <f t="shared" si="78"/>
        <v>#N/A</v>
      </c>
      <c r="EU21" s="379" t="e">
        <f>SUM(EK21:ET21)</f>
        <v>#N/A</v>
      </c>
      <c r="EV21" s="382"/>
      <c r="EW21" s="382"/>
      <c r="EX21" s="382"/>
      <c r="EY21" s="382"/>
      <c r="EZ21" s="382"/>
      <c r="FA21" s="382"/>
      <c r="FB21" s="382"/>
      <c r="FE21" s="583" t="s">
        <v>1680</v>
      </c>
      <c r="FF21" s="583"/>
      <c r="FG21" s="583"/>
      <c r="FH21" s="583"/>
    </row>
    <row r="22" spans="1:165" ht="35" customHeight="1" x14ac:dyDescent="0.3">
      <c r="BG22" s="318"/>
      <c r="BV22" s="255"/>
      <c r="BY22" s="144"/>
      <c r="BZ22" s="144"/>
      <c r="CA22" s="144"/>
      <c r="CB22" s="144"/>
      <c r="CC22" s="144"/>
      <c r="CD22" s="144"/>
      <c r="CE22" s="144"/>
      <c r="CF22" s="144"/>
      <c r="CG22" s="144"/>
    </row>
    <row r="23" spans="1:165" ht="35" customHeight="1" x14ac:dyDescent="0.3">
      <c r="BG23" s="318"/>
      <c r="BV23" s="255"/>
      <c r="BY23" s="144"/>
      <c r="BZ23" s="144"/>
      <c r="CA23" s="144"/>
      <c r="CB23" s="144"/>
      <c r="CC23" s="144"/>
      <c r="CD23" s="144"/>
      <c r="CE23" s="144"/>
      <c r="CF23" s="144"/>
      <c r="CG23" s="144"/>
    </row>
    <row r="24" spans="1:165" ht="35" customHeight="1" x14ac:dyDescent="0.3">
      <c r="BG24" s="318"/>
      <c r="BV24" s="255"/>
      <c r="BY24" s="144"/>
      <c r="BZ24" s="144"/>
      <c r="CA24" s="144"/>
      <c r="CB24" s="144"/>
      <c r="CC24" s="144"/>
      <c r="CD24" s="144"/>
      <c r="CE24" s="144"/>
      <c r="CF24" s="144"/>
      <c r="CG24" s="144"/>
    </row>
    <row r="25" spans="1:165" ht="35" customHeight="1" x14ac:dyDescent="0.3">
      <c r="BG25" s="318"/>
      <c r="BV25" s="346"/>
      <c r="BY25" s="376"/>
      <c r="BZ25" s="373"/>
      <c r="CA25" s="373"/>
      <c r="CB25" s="373"/>
      <c r="CC25" s="373"/>
      <c r="CD25" s="373"/>
      <c r="CE25" s="373"/>
      <c r="CF25" s="373"/>
      <c r="CG25" s="373"/>
    </row>
    <row r="26" spans="1:165" ht="35" customHeight="1" x14ac:dyDescent="0.3">
      <c r="BG26" s="318"/>
      <c r="BV26" s="255"/>
      <c r="BY26" s="376"/>
      <c r="BZ26" s="373"/>
      <c r="CA26" s="373"/>
      <c r="CB26" s="373"/>
      <c r="CC26" s="373"/>
      <c r="CD26" s="373"/>
      <c r="CE26" s="373"/>
      <c r="CF26" s="373"/>
      <c r="CG26" s="373"/>
    </row>
    <row r="27" spans="1:165" ht="43" customHeight="1" x14ac:dyDescent="0.3">
      <c r="BG27" s="318"/>
      <c r="BV27" s="255"/>
      <c r="BY27" s="376"/>
      <c r="BZ27" s="373"/>
      <c r="CA27" s="373"/>
      <c r="CB27" s="373"/>
      <c r="CC27" s="373"/>
      <c r="CD27" s="373"/>
      <c r="CE27" s="373"/>
      <c r="CF27" s="373"/>
      <c r="CG27" s="373"/>
    </row>
    <row r="28" spans="1:165" ht="35" customHeight="1" x14ac:dyDescent="0.3">
      <c r="A28" s="318"/>
      <c r="B28" s="318"/>
      <c r="C28" s="318"/>
      <c r="D28" s="318"/>
      <c r="E28" s="318"/>
      <c r="F28" s="318"/>
      <c r="G28" s="318"/>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18"/>
      <c r="AM28" s="317"/>
      <c r="AN28" s="318"/>
      <c r="AO28" s="317"/>
      <c r="AP28" s="317"/>
      <c r="AQ28" s="317"/>
      <c r="AR28" s="317"/>
      <c r="AS28" s="317"/>
      <c r="AT28" s="317"/>
      <c r="AU28" s="318"/>
      <c r="AV28" s="318"/>
      <c r="AW28" s="318"/>
      <c r="AX28" s="318"/>
      <c r="AY28" s="318"/>
      <c r="AZ28" s="318"/>
      <c r="BA28" s="318"/>
      <c r="BB28" s="318"/>
      <c r="BC28" s="318"/>
      <c r="BD28" s="318"/>
      <c r="BE28" s="318"/>
      <c r="BF28" s="318"/>
      <c r="BG28" s="318"/>
      <c r="BH28" s="333"/>
      <c r="BI28" s="333"/>
      <c r="BJ28" s="333"/>
      <c r="BK28" s="333"/>
      <c r="BL28" s="333"/>
      <c r="BM28" s="333"/>
      <c r="BN28" s="333"/>
      <c r="BO28" s="333"/>
      <c r="BP28" s="333"/>
      <c r="BQ28" s="333"/>
      <c r="BR28" s="333"/>
      <c r="BS28" s="333"/>
      <c r="BT28" s="334"/>
      <c r="BU28" s="335"/>
      <c r="BV28" s="144"/>
      <c r="BY28" s="376"/>
      <c r="BZ28" s="373"/>
      <c r="CA28" s="373"/>
      <c r="CB28" s="373"/>
      <c r="CC28" s="373"/>
      <c r="CD28" s="373"/>
      <c r="CE28" s="373"/>
      <c r="CF28" s="373"/>
      <c r="CG28" s="373"/>
      <c r="CH28" s="378"/>
      <c r="CI28" s="378"/>
      <c r="CJ28" s="378"/>
      <c r="CK28" s="378"/>
      <c r="CL28" s="378"/>
      <c r="CM28" s="378"/>
      <c r="CN28" s="378"/>
      <c r="CO28" s="378"/>
      <c r="CP28" s="378"/>
      <c r="CQ28" s="378"/>
      <c r="CR28" s="354"/>
      <c r="CS28" s="379"/>
      <c r="CT28" s="379"/>
      <c r="CU28" s="379"/>
      <c r="CV28" s="379"/>
      <c r="CW28" s="379"/>
      <c r="CX28" s="379"/>
      <c r="CY28" s="379"/>
      <c r="CZ28" s="379"/>
      <c r="DA28" s="379"/>
      <c r="DB28" s="379"/>
      <c r="DC28" s="379"/>
      <c r="DD28" s="354"/>
      <c r="DE28" s="378"/>
      <c r="DF28" s="378"/>
      <c r="DG28" s="378"/>
      <c r="DH28" s="378"/>
      <c r="DI28" s="378"/>
      <c r="DJ28" s="378"/>
      <c r="DK28" s="378"/>
      <c r="DL28" s="378"/>
      <c r="DM28" s="378"/>
      <c r="DN28" s="378"/>
      <c r="DO28" s="380"/>
      <c r="DP28" s="380"/>
      <c r="DQ28" s="380"/>
      <c r="DR28" s="380"/>
      <c r="DS28" s="380"/>
      <c r="DT28" s="380"/>
      <c r="DU28" s="380"/>
      <c r="DV28" s="380"/>
      <c r="DW28" s="380"/>
      <c r="DX28" s="380"/>
      <c r="DY28" s="380"/>
      <c r="DZ28" s="378"/>
      <c r="EA28" s="378"/>
      <c r="EB28" s="378"/>
      <c r="EC28" s="378"/>
      <c r="ED28" s="378"/>
      <c r="EE28" s="378"/>
      <c r="EF28" s="378"/>
      <c r="EG28" s="378"/>
      <c r="EH28" s="378"/>
      <c r="EI28" s="378"/>
      <c r="EJ28" s="354"/>
      <c r="EK28" s="380"/>
      <c r="EL28" s="380"/>
      <c r="EM28" s="380"/>
      <c r="EN28" s="380"/>
      <c r="EO28" s="380"/>
      <c r="EP28" s="380"/>
      <c r="EQ28" s="380"/>
      <c r="ER28" s="380"/>
      <c r="ES28" s="380"/>
      <c r="ET28" s="380"/>
      <c r="EU28" s="379"/>
      <c r="EV28" s="382"/>
      <c r="EW28" s="382"/>
      <c r="EX28" s="382"/>
      <c r="EY28" s="382"/>
      <c r="EZ28" s="382"/>
      <c r="FA28" s="382"/>
      <c r="FB28" s="382"/>
    </row>
    <row r="29" spans="1:165" ht="35" customHeight="1" x14ac:dyDescent="0.3">
      <c r="BG29" s="318"/>
      <c r="BV29" s="144"/>
      <c r="BY29" s="376"/>
      <c r="BZ29" s="373"/>
      <c r="CA29" s="373"/>
      <c r="CB29" s="373"/>
      <c r="CC29" s="373"/>
      <c r="CD29" s="373"/>
      <c r="CE29" s="373"/>
      <c r="CF29" s="373"/>
      <c r="CG29" s="373"/>
    </row>
    <row r="30" spans="1:165" ht="51.5" customHeight="1" x14ac:dyDescent="0.3">
      <c r="BG30" s="318"/>
      <c r="BV30" s="144"/>
      <c r="BY30" s="376"/>
      <c r="BZ30" s="373"/>
      <c r="CA30" s="373"/>
      <c r="CB30" s="373"/>
      <c r="CC30" s="373"/>
      <c r="CD30" s="373"/>
      <c r="CE30" s="373"/>
      <c r="CF30" s="373"/>
      <c r="CG30" s="373"/>
    </row>
    <row r="31" spans="1:165" ht="56.5" customHeight="1" x14ac:dyDescent="0.3">
      <c r="BG31" s="318"/>
      <c r="BV31" s="144"/>
      <c r="BY31" s="376"/>
      <c r="BZ31" s="373"/>
      <c r="CA31" s="373"/>
      <c r="CB31" s="373"/>
      <c r="CC31" s="373"/>
      <c r="CD31" s="373"/>
      <c r="CE31" s="373"/>
      <c r="CF31" s="373"/>
      <c r="CG31" s="373"/>
    </row>
    <row r="32" spans="1:165" ht="51.5" customHeight="1" x14ac:dyDescent="0.3">
      <c r="BG32" s="318"/>
      <c r="BV32" s="144"/>
      <c r="BY32" s="376"/>
      <c r="BZ32" s="373"/>
      <c r="CA32" s="373"/>
      <c r="CB32" s="373"/>
      <c r="CC32" s="373"/>
      <c r="CD32" s="373"/>
      <c r="CE32" s="373"/>
      <c r="CF32" s="373"/>
      <c r="CG32" s="373"/>
    </row>
    <row r="33" spans="39:85" ht="50" customHeight="1" x14ac:dyDescent="0.3">
      <c r="BG33" s="318"/>
      <c r="BV33" s="144"/>
      <c r="BY33" s="376"/>
      <c r="BZ33" s="373"/>
      <c r="CA33" s="373"/>
      <c r="CB33" s="373"/>
      <c r="CC33" s="373"/>
      <c r="CD33" s="373"/>
      <c r="CE33" s="373"/>
      <c r="CF33" s="373"/>
      <c r="CG33" s="373"/>
    </row>
    <row r="34" spans="39:85" ht="45.5" customHeight="1" x14ac:dyDescent="0.3">
      <c r="BG34" s="318"/>
      <c r="BV34" s="144"/>
      <c r="BY34" s="376"/>
      <c r="BZ34" s="373"/>
      <c r="CA34" s="373"/>
      <c r="CB34" s="373"/>
      <c r="CC34" s="373"/>
      <c r="CD34" s="373"/>
      <c r="CE34" s="373"/>
      <c r="CF34" s="373"/>
      <c r="CG34" s="373"/>
    </row>
    <row r="35" spans="39:85" x14ac:dyDescent="0.3">
      <c r="AM35" s="385"/>
      <c r="AO35" s="385"/>
      <c r="AP35" s="385"/>
      <c r="AQ35" s="385"/>
      <c r="AS35" s="385"/>
      <c r="AT35" s="385"/>
      <c r="BG35" s="282"/>
    </row>
    <row r="36" spans="39:85" x14ac:dyDescent="0.3">
      <c r="BG36" s="282"/>
    </row>
    <row r="37" spans="39:85" x14ac:dyDescent="0.3">
      <c r="BG37" s="282"/>
    </row>
    <row r="38" spans="39:85" x14ac:dyDescent="0.3">
      <c r="BG38" s="282"/>
    </row>
    <row r="41" spans="39:85" x14ac:dyDescent="0.3">
      <c r="BF41" s="282"/>
    </row>
    <row r="42" spans="39:85" x14ac:dyDescent="0.3">
      <c r="BF42" s="282"/>
    </row>
    <row r="43" spans="39:85" x14ac:dyDescent="0.3">
      <c r="BF43" s="282"/>
    </row>
    <row r="44" spans="39:85" x14ac:dyDescent="0.3">
      <c r="BF44" s="282"/>
    </row>
    <row r="50" spans="2:46" ht="39" customHeight="1" x14ac:dyDescent="0.3">
      <c r="B50" s="91" t="s">
        <v>52</v>
      </c>
      <c r="AM50" s="343">
        <f>SUM(AM5:AM8)</f>
        <v>871778.77499999991</v>
      </c>
      <c r="AN50" s="343">
        <f t="shared" ref="AN50:AT50" si="79">SUM(AN5:AN8)</f>
        <v>0</v>
      </c>
      <c r="AO50" s="343">
        <f t="shared" si="79"/>
        <v>0</v>
      </c>
      <c r="AP50" s="343">
        <f t="shared" si="79"/>
        <v>871778.77499999991</v>
      </c>
      <c r="AQ50" s="343">
        <f t="shared" si="79"/>
        <v>25874.712500000001</v>
      </c>
      <c r="AR50" s="343">
        <f t="shared" si="79"/>
        <v>845904.06249999988</v>
      </c>
      <c r="AS50" s="343">
        <f t="shared" si="79"/>
        <v>1002545.5912499999</v>
      </c>
      <c r="AT50" s="343">
        <f t="shared" si="79"/>
        <v>5012.7279562499998</v>
      </c>
    </row>
  </sheetData>
  <mergeCells count="55">
    <mergeCell ref="A1:B1"/>
    <mergeCell ref="A2:I2"/>
    <mergeCell ref="J2:AE2"/>
    <mergeCell ref="AF2:AR2"/>
    <mergeCell ref="AS2:BG2"/>
    <mergeCell ref="DO2:EJ2"/>
    <mergeCell ref="EV2:FB2"/>
    <mergeCell ref="J3:S3"/>
    <mergeCell ref="T3:AC3"/>
    <mergeCell ref="AS3:AS4"/>
    <mergeCell ref="AT3:AT4"/>
    <mergeCell ref="AU3:BD3"/>
    <mergeCell ref="BE3:BE4"/>
    <mergeCell ref="BF3:BF4"/>
    <mergeCell ref="BH3:BH4"/>
    <mergeCell ref="BH2:BT2"/>
    <mergeCell ref="BI3:BI4"/>
    <mergeCell ref="BJ3:BJ4"/>
    <mergeCell ref="BK3:BK4"/>
    <mergeCell ref="BL3:BL4"/>
    <mergeCell ref="BM3:BM4"/>
    <mergeCell ref="DZ3:EJ3"/>
    <mergeCell ref="BO3:BO4"/>
    <mergeCell ref="BP3:BP4"/>
    <mergeCell ref="BQ3:BQ4"/>
    <mergeCell ref="BR3:BR4"/>
    <mergeCell ref="BS3:BS4"/>
    <mergeCell ref="BT3:BT4"/>
    <mergeCell ref="BU3:BU4"/>
    <mergeCell ref="CH3:CR3"/>
    <mergeCell ref="CS3:DC3"/>
    <mergeCell ref="DE3:DN3"/>
    <mergeCell ref="DO3:DY3"/>
    <mergeCell ref="BN3:BN4"/>
    <mergeCell ref="FD10:FI10"/>
    <mergeCell ref="EK3:EU3"/>
    <mergeCell ref="EV3:EV4"/>
    <mergeCell ref="EW3:EW4"/>
    <mergeCell ref="EX3:EX4"/>
    <mergeCell ref="EY3:EY4"/>
    <mergeCell ref="EZ3:EZ4"/>
    <mergeCell ref="FA3:FA4"/>
    <mergeCell ref="FB3:FB4"/>
    <mergeCell ref="FD5:FH5"/>
    <mergeCell ref="FD6:FH6"/>
    <mergeCell ref="FD9:FI9"/>
    <mergeCell ref="FE19:FH19"/>
    <mergeCell ref="FE20:FH20"/>
    <mergeCell ref="FE21:FH21"/>
    <mergeCell ref="FD11:FI11"/>
    <mergeCell ref="FE12:FH12"/>
    <mergeCell ref="FE15:FH15"/>
    <mergeCell ref="FE16:FH16"/>
    <mergeCell ref="FE17:FH17"/>
    <mergeCell ref="FE18:FH18"/>
  </mergeCells>
  <conditionalFormatting sqref="AU5:BA21 AU28:BA28">
    <cfRule type="cellIs" dxfId="140" priority="13" operator="equal">
      <formula>3</formula>
    </cfRule>
    <cfRule type="cellIs" dxfId="139" priority="14" operator="equal">
      <formula>1</formula>
    </cfRule>
    <cfRule type="cellIs" dxfId="138" priority="15" operator="equal">
      <formula>2</formula>
    </cfRule>
    <cfRule type="cellIs" dxfId="137" priority="16" operator="equal">
      <formula>3</formula>
    </cfRule>
    <cfRule type="cellIs" dxfId="136" priority="17" operator="greaterThan">
      <formula>3.9</formula>
    </cfRule>
  </conditionalFormatting>
  <conditionalFormatting sqref="BE1:BE21 BE28 BE35:BE49 BE51:BE1048576">
    <cfRule type="cellIs" dxfId="135" priority="9" operator="equal">
      <formula>1</formula>
    </cfRule>
    <cfRule type="cellIs" dxfId="134" priority="10" operator="equal">
      <formula>2</formula>
    </cfRule>
    <cfRule type="cellIs" dxfId="133" priority="11" operator="equal">
      <formula>3</formula>
    </cfRule>
  </conditionalFormatting>
  <conditionalFormatting sqref="BE5:BE21 BE28">
    <cfRule type="cellIs" dxfId="132" priority="12" operator="greaterThan">
      <formula>3.5</formula>
    </cfRule>
  </conditionalFormatting>
  <conditionalFormatting sqref="BG5:BG17">
    <cfRule type="cellIs" dxfId="131" priority="1" operator="lessThan">
      <formula>0.3</formula>
    </cfRule>
    <cfRule type="cellIs" dxfId="130" priority="2" operator="between">
      <formula>0.3</formula>
      <formula>0.5</formula>
    </cfRule>
    <cfRule type="cellIs" dxfId="129" priority="3" operator="between">
      <formula>0.5</formula>
      <formula>0.6</formula>
    </cfRule>
    <cfRule type="cellIs" dxfId="128" priority="4" operator="greaterThan">
      <formula>0.6</formula>
    </cfRule>
  </conditionalFormatting>
  <dataValidations count="7">
    <dataValidation type="list" allowBlank="1" showInputMessage="1" showErrorMessage="1" sqref="D12:D21 D28 D5:D10" xr:uid="{F9C20618-237C-4266-8F32-825A63466044}">
      <formula1>$D$4:$D$14</formula1>
    </dataValidation>
    <dataValidation type="list" allowBlank="1" showInputMessage="1" showErrorMessage="1" sqref="P14:P19 P10:P11" xr:uid="{9DE8204A-A8E7-4097-B6FE-F7F743D77A4D}">
      <formula1>$J$72:$J$77</formula1>
    </dataValidation>
    <dataValidation type="list" allowBlank="1" showInputMessage="1" showErrorMessage="1" sqref="R28 R20:R21 R5:R8" xr:uid="{64DEDE25-143E-4579-B368-09A6C369F3E1}">
      <formula1>$J$92:$J$95</formula1>
    </dataValidation>
    <dataValidation type="list" allowBlank="1" showInputMessage="1" showErrorMessage="1" sqref="N5:N12" xr:uid="{DF510DC8-2C86-4794-B2A9-16B36F56A4D1}">
      <formula1>$J$52:$J$58</formula1>
    </dataValidation>
    <dataValidation type="list" allowBlank="1" showInputMessage="1" showErrorMessage="1" sqref="C12" xr:uid="{2A0EE62F-8855-458E-A835-EF6BB7F44EC7}">
      <formula1>$B$4:$B$53</formula1>
    </dataValidation>
    <dataValidation type="list" allowBlank="1" showInputMessage="1" showErrorMessage="1" sqref="F11" xr:uid="{6704019D-412D-487A-B1D6-B4B12B28015F}">
      <formula1>$H$4:$H$16</formula1>
    </dataValidation>
    <dataValidation type="list" allowBlank="1" showInputMessage="1" showErrorMessage="1" sqref="Y4:AC4" xr:uid="{4D7C109C-2A89-4BBC-8B6A-CFFEEF19FA8B}">
      <formula1>$I$4:$I$13</formula1>
    </dataValidation>
  </dataValidations>
  <pageMargins left="0.7" right="0.7" top="0.75" bottom="0.75" header="0.3" footer="0.3"/>
  <headerFooter>
    <oddFooter>&amp;C_x000D_&amp;1#&amp;"Calibri"&amp;8&amp;K000000 INTERNAL. This information is accessible to ADB Management and staff. It may be shared outside ADB with appropriate permission.</oddFooter>
  </headerFooter>
  <extLst>
    <ext xmlns:x14="http://schemas.microsoft.com/office/spreadsheetml/2009/9/main" uri="{CCE6A557-97BC-4b89-ADB6-D9C93CAAB3DF}">
      <x14:dataValidations xmlns:xm="http://schemas.microsoft.com/office/excel/2006/main" count="17">
        <x14:dataValidation type="list" allowBlank="1" showInputMessage="1" showErrorMessage="1" xr:uid="{46A88146-04DA-497B-9372-AE72E7E42638}">
          <x14:formula1>
            <xm:f>'AR-Hierarchy '!$J$86:$J$90</xm:f>
          </x14:formula1>
          <xm:sqref>S28 S5:S21</xm:sqref>
        </x14:dataValidation>
        <x14:dataValidation type="list" allowBlank="1" showInputMessage="1" showErrorMessage="1" xr:uid="{81E65285-B541-4D28-B3BD-E3C887394323}">
          <x14:formula1>
            <xm:f>'AR-Hierarchy '!$J$72:$J$77</xm:f>
          </x14:formula1>
          <xm:sqref>Q28 Q5:Q21</xm:sqref>
        </x14:dataValidation>
        <x14:dataValidation type="list" allowBlank="1" showInputMessage="1" showErrorMessage="1" xr:uid="{E821863A-B748-4F2C-B248-71EC4D8258F3}">
          <x14:formula1>
            <xm:f>'AR-Hierarchy '!$J$54:$J$60</xm:f>
          </x14:formula1>
          <xm:sqref>O28 O5:O21</xm:sqref>
        </x14:dataValidation>
        <x14:dataValidation type="list" allowBlank="1" showInputMessage="1" showErrorMessage="1" xr:uid="{23ACEA27-7084-4098-8B41-BE414ACDB484}">
          <x14:formula1>
            <xm:f>'AR-Hierarchy '!$J$35:$J$41</xm:f>
          </x14:formula1>
          <xm:sqref>M28 M5:M21</xm:sqref>
        </x14:dataValidation>
        <x14:dataValidation type="list" allowBlank="1" showInputMessage="1" showErrorMessage="1" xr:uid="{693A2AC3-243F-4988-9838-F7FFF76F4A38}">
          <x14:formula1>
            <xm:f>'AR-Hierarchy '!$J$24:$J$32</xm:f>
          </x14:formula1>
          <xm:sqref>L28 L5:L21</xm:sqref>
        </x14:dataValidation>
        <x14:dataValidation type="list" allowBlank="1" showInputMessage="1" showErrorMessage="1" xr:uid="{B85922E3-76D8-4577-BEC4-D0DDF3329ADF}">
          <x14:formula1>
            <xm:f>'AR-Hierarchy '!$J$5:$J$12</xm:f>
          </x14:formula1>
          <xm:sqref>J28 J5:J21</xm:sqref>
        </x14:dataValidation>
        <x14:dataValidation type="list" allowBlank="1" showInputMessage="1" showErrorMessage="1" xr:uid="{56AF17C4-88BA-46C8-84FD-C9225371B3FD}">
          <x14:formula1>
            <xm:f>'AR-Hierarchy '!$K$4:$K$17</xm:f>
          </x14:formula1>
          <xm:sqref>T28:AC28 T5:AC21</xm:sqref>
        </x14:dataValidation>
        <x14:dataValidation type="list" allowBlank="1" showInputMessage="1" showErrorMessage="1" xr:uid="{BD46A6D6-466F-4F7C-8A50-BE8F3FC51350}">
          <x14:formula1>
            <xm:f>'AR-Hierarchy '!$B$4:$B$53</xm:f>
          </x14:formula1>
          <xm:sqref>C5:C11 C20:C21 C28</xm:sqref>
        </x14:dataValidation>
        <x14:dataValidation type="list" allowBlank="1" showInputMessage="1" showErrorMessage="1" xr:uid="{D66C3A14-6D03-49F4-B966-C9621DE73777}">
          <x14:formula1>
            <xm:f>'AR-Hierarchy '!#REF!</xm:f>
          </x14:formula1>
          <xm:sqref>D9:D11 E28 E20:E21 E5:E11</xm:sqref>
        </x14:dataValidation>
        <x14:dataValidation type="list" allowBlank="1" showInputMessage="1" showErrorMessage="1" xr:uid="{366F09EC-F607-4A13-B693-F7BF2AD80F93}">
          <x14:formula1>
            <xm:f>'AR-Hierarchy '!$J$80:$J$83</xm:f>
          </x14:formula1>
          <xm:sqref>R5:R19</xm:sqref>
        </x14:dataValidation>
        <x14:dataValidation type="list" allowBlank="1" showInputMessage="1" showErrorMessage="1" xr:uid="{3A7963DB-FFD5-4D21-87DC-2FB793275EBA}">
          <x14:formula1>
            <xm:f>'AR-Hierarchy '!$J$63:$J$68</xm:f>
          </x14:formula1>
          <xm:sqref>P5:P11 P20:P21 P28</xm:sqref>
        </x14:dataValidation>
        <x14:dataValidation type="list" allowBlank="1" showInputMessage="1" showErrorMessage="1" xr:uid="{9275E2AA-E56D-44A5-9635-F6AD3966049D}">
          <x14:formula1>
            <xm:f>'AR-Hierarchy '!$J$45:$J$51</xm:f>
          </x14:formula1>
          <xm:sqref>N10:N11 N5:N8 N14:N21 N28</xm:sqref>
        </x14:dataValidation>
        <x14:dataValidation type="list" allowBlank="1" showInputMessage="1" showErrorMessage="1" xr:uid="{E3179D6D-DFAB-44D2-ADC0-61797F7AA7CA}">
          <x14:formula1>
            <xm:f>'AR-Hierarchy '!$J$14:$J$21</xm:f>
          </x14:formula1>
          <xm:sqref>K28 K5:K21</xm:sqref>
        </x14:dataValidation>
        <x14:dataValidation type="list" allowBlank="1" showInputMessage="1" showErrorMessage="1" xr:uid="{F444F86E-8768-44D0-9D41-8E80C498E907}">
          <x14:formula1>
            <xm:f>'AR-Hierarchy '!$I$4:$I$14</xm:f>
          </x14:formula1>
          <xm:sqref>J4:S4</xm:sqref>
        </x14:dataValidation>
        <x14:dataValidation type="list" allowBlank="1" showInputMessage="1" showErrorMessage="1" xr:uid="{5BB95F5B-E1A8-4BFF-80E1-01758BA3502E}">
          <x14:formula1>
            <xm:f>'AR-Hierarchy '!$H$4:$H$20</xm:f>
          </x14:formula1>
          <xm:sqref>F28 F20:F21 F5:F13</xm:sqref>
        </x14:dataValidation>
        <x14:dataValidation type="list" allowBlank="1" showInputMessage="1" showErrorMessage="1" xr:uid="{D5BC0E29-0B2E-496E-AAAE-55A849F058AC}">
          <x14:formula1>
            <xm:f>'Inflation Adjustments'!$B$3:$BT$3</xm:f>
          </x14:formula1>
          <xm:sqref>AG28 AG20:AG21 AG5:AG11</xm:sqref>
        </x14:dataValidation>
        <x14:dataValidation type="list" allowBlank="1" showInputMessage="1" showErrorMessage="1" xr:uid="{15A1D8E7-5EBA-4DA1-9BCF-2CE243F7E05D}">
          <x14:formula1>
            <xm:f>'Condition rating weights'!$C$29:$C$34</xm:f>
          </x14:formula1>
          <xm:sqref>AW18:AW19 AX18:BE18 AX19:AZ19 BF18:BF19 AU15:AV19 AW15:BF17 AU20:BF21 AU28:BF28 AU5:BF14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1CEF5-49E3-442B-9653-14459D6D22EA}">
  <dimension ref="A1:FI50"/>
  <sheetViews>
    <sheetView topLeftCell="AL30" workbookViewId="0">
      <selection activeCell="AN50" sqref="AN50:AT50"/>
    </sheetView>
  </sheetViews>
  <sheetFormatPr defaultColWidth="8.81640625" defaultRowHeight="14" x14ac:dyDescent="0.3"/>
  <cols>
    <col min="1" max="71" width="35.6328125" style="91" customWidth="1"/>
    <col min="72" max="73" width="35.6328125" style="290" customWidth="1"/>
    <col min="74" max="76" width="8.81640625" style="91"/>
    <col min="77" max="77" width="16.08984375" style="91" customWidth="1"/>
    <col min="78" max="85" width="8.81640625" style="91"/>
    <col min="86" max="86" width="12.08984375" style="91" customWidth="1"/>
    <col min="87" max="87" width="10.90625" style="91" customWidth="1"/>
    <col min="88" max="88" width="11.81640625" style="91" customWidth="1"/>
    <col min="89" max="89" width="11" style="91" customWidth="1"/>
    <col min="90" max="90" width="11.453125" style="91" customWidth="1"/>
    <col min="91" max="91" width="12.54296875" style="91" bestFit="1" customWidth="1"/>
    <col min="92" max="92" width="11.08984375" style="91" bestFit="1" customWidth="1"/>
    <col min="93" max="93" width="8.81640625" style="91"/>
    <col min="94" max="94" width="10.453125" style="91" customWidth="1"/>
    <col min="95" max="95" width="11.08984375" style="91" bestFit="1" customWidth="1"/>
    <col min="96" max="101" width="12.1796875" style="91" customWidth="1"/>
    <col min="102" max="102" width="11.90625" style="91" customWidth="1"/>
    <col min="103" max="103" width="10.6328125" style="91" customWidth="1"/>
    <col min="104" max="104" width="8.81640625" style="91"/>
    <col min="105" max="105" width="10.81640625" style="91" customWidth="1"/>
    <col min="106" max="106" width="8.81640625" style="91"/>
    <col min="107" max="107" width="12" style="91" customWidth="1"/>
    <col min="108" max="108" width="16.36328125" style="91" customWidth="1"/>
    <col min="109" max="109" width="11.1796875" style="91" customWidth="1"/>
    <col min="110" max="113" width="10.6328125" style="91" customWidth="1"/>
    <col min="114" max="114" width="10" style="91" customWidth="1"/>
    <col min="115" max="115" width="10.90625" style="91" customWidth="1"/>
    <col min="116" max="116" width="9.08984375" style="91" bestFit="1" customWidth="1"/>
    <col min="117" max="117" width="10.81640625" style="91" customWidth="1"/>
    <col min="118" max="118" width="8.81640625" style="91"/>
    <col min="119" max="119" width="11.36328125" style="91" customWidth="1"/>
    <col min="120" max="123" width="10.81640625" style="91" customWidth="1"/>
    <col min="124" max="124" width="8.81640625" style="91" bestFit="1" customWidth="1"/>
    <col min="125" max="125" width="9.08984375" style="91" bestFit="1" customWidth="1"/>
    <col min="126" max="127" width="8.81640625" style="91" bestFit="1" customWidth="1"/>
    <col min="128" max="129" width="8.81640625" style="91" customWidth="1"/>
    <col min="130" max="130" width="11.36328125" style="91" customWidth="1"/>
    <col min="131" max="135" width="10.08984375" style="91" customWidth="1"/>
    <col min="136" max="139" width="8.81640625" style="91"/>
    <col min="140" max="140" width="11.08984375" style="91" bestFit="1" customWidth="1"/>
    <col min="141" max="151" width="11.08984375" style="91" customWidth="1"/>
    <col min="152" max="155" width="11.54296875" style="91" customWidth="1"/>
    <col min="156" max="156" width="11.81640625" style="91" customWidth="1"/>
    <col min="157" max="158" width="12.1796875" style="91" customWidth="1"/>
    <col min="159" max="16384" width="8.81640625" style="91"/>
  </cols>
  <sheetData>
    <row r="1" spans="1:165" ht="29.5" customHeight="1" thickTop="1" x14ac:dyDescent="0.3">
      <c r="A1" s="621" t="s">
        <v>32</v>
      </c>
      <c r="B1" s="622"/>
      <c r="C1" s="288">
        <v>2023</v>
      </c>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row>
    <row r="2" spans="1:165" ht="45.5" customHeight="1" thickBot="1" x14ac:dyDescent="0.35">
      <c r="A2" s="584" t="s">
        <v>1420</v>
      </c>
      <c r="B2" s="585"/>
      <c r="C2" s="585"/>
      <c r="D2" s="585"/>
      <c r="E2" s="585"/>
      <c r="F2" s="585"/>
      <c r="G2" s="585"/>
      <c r="H2" s="585"/>
      <c r="I2" s="649"/>
      <c r="J2" s="584" t="s">
        <v>298</v>
      </c>
      <c r="K2" s="585"/>
      <c r="L2" s="585"/>
      <c r="M2" s="585"/>
      <c r="N2" s="585"/>
      <c r="O2" s="585"/>
      <c r="P2" s="585"/>
      <c r="Q2" s="585"/>
      <c r="R2" s="585"/>
      <c r="S2" s="585"/>
      <c r="T2" s="585"/>
      <c r="U2" s="585"/>
      <c r="V2" s="585"/>
      <c r="W2" s="585"/>
      <c r="X2" s="585"/>
      <c r="Y2" s="585"/>
      <c r="Z2" s="585"/>
      <c r="AA2" s="585"/>
      <c r="AB2" s="585"/>
      <c r="AC2" s="585"/>
      <c r="AD2" s="585"/>
      <c r="AE2" s="586"/>
      <c r="AF2" s="592" t="s">
        <v>267</v>
      </c>
      <c r="AG2" s="593"/>
      <c r="AH2" s="593"/>
      <c r="AI2" s="593"/>
      <c r="AJ2" s="593"/>
      <c r="AK2" s="593"/>
      <c r="AL2" s="593"/>
      <c r="AM2" s="593"/>
      <c r="AN2" s="593"/>
      <c r="AO2" s="593"/>
      <c r="AP2" s="593"/>
      <c r="AQ2" s="593"/>
      <c r="AR2" s="594"/>
      <c r="AS2" s="592" t="s">
        <v>268</v>
      </c>
      <c r="AT2" s="593"/>
      <c r="AU2" s="593"/>
      <c r="AV2" s="593"/>
      <c r="AW2" s="593"/>
      <c r="AX2" s="593"/>
      <c r="AY2" s="593"/>
      <c r="AZ2" s="593"/>
      <c r="BA2" s="593"/>
      <c r="BB2" s="593"/>
      <c r="BC2" s="593"/>
      <c r="BD2" s="593"/>
      <c r="BE2" s="593"/>
      <c r="BF2" s="593"/>
      <c r="BG2" s="593"/>
      <c r="BH2" s="597" t="s">
        <v>312</v>
      </c>
      <c r="BI2" s="598"/>
      <c r="BJ2" s="598"/>
      <c r="BK2" s="598"/>
      <c r="BL2" s="598"/>
      <c r="BM2" s="598"/>
      <c r="BN2" s="598"/>
      <c r="BO2" s="598"/>
      <c r="BP2" s="598"/>
      <c r="BQ2" s="598"/>
      <c r="BR2" s="598"/>
      <c r="BS2" s="598"/>
      <c r="BT2" s="599"/>
      <c r="BU2" s="291"/>
      <c r="DO2" s="589" t="s">
        <v>828</v>
      </c>
      <c r="DP2" s="589"/>
      <c r="DQ2" s="589"/>
      <c r="DR2" s="589"/>
      <c r="DS2" s="589"/>
      <c r="DT2" s="589"/>
      <c r="DU2" s="589"/>
      <c r="DV2" s="589"/>
      <c r="DW2" s="589"/>
      <c r="DX2" s="589"/>
      <c r="DY2" s="589"/>
      <c r="DZ2" s="589"/>
      <c r="EA2" s="589"/>
      <c r="EB2" s="589"/>
      <c r="EC2" s="589"/>
      <c r="ED2" s="589"/>
      <c r="EE2" s="589"/>
      <c r="EF2" s="589"/>
      <c r="EG2" s="589"/>
      <c r="EH2" s="589"/>
      <c r="EI2" s="589"/>
      <c r="EJ2" s="589"/>
      <c r="EK2" s="93"/>
      <c r="EL2" s="93"/>
      <c r="EM2" s="93"/>
      <c r="EN2" s="93"/>
      <c r="EO2" s="93"/>
      <c r="EP2" s="93"/>
      <c r="EQ2" s="93"/>
      <c r="ER2" s="93"/>
      <c r="ES2" s="93"/>
      <c r="ET2" s="93"/>
      <c r="EU2" s="93"/>
      <c r="EV2" s="590" t="s">
        <v>829</v>
      </c>
      <c r="EW2" s="590"/>
      <c r="EX2" s="590"/>
      <c r="EY2" s="590"/>
      <c r="EZ2" s="590"/>
      <c r="FA2" s="590"/>
      <c r="FB2" s="590"/>
    </row>
    <row r="3" spans="1:165" ht="14.5" thickTop="1" x14ac:dyDescent="0.3">
      <c r="A3" s="293" t="s">
        <v>0</v>
      </c>
      <c r="B3" s="294" t="s">
        <v>34</v>
      </c>
      <c r="C3" s="294" t="s">
        <v>250</v>
      </c>
      <c r="D3" s="294" t="s">
        <v>251</v>
      </c>
      <c r="E3" s="294" t="s">
        <v>1</v>
      </c>
      <c r="F3" s="294" t="s">
        <v>2</v>
      </c>
      <c r="G3" s="294" t="s">
        <v>252</v>
      </c>
      <c r="H3" s="294" t="s">
        <v>30</v>
      </c>
      <c r="I3" s="294" t="s">
        <v>31</v>
      </c>
      <c r="J3" s="616" t="s">
        <v>253</v>
      </c>
      <c r="K3" s="625"/>
      <c r="L3" s="625"/>
      <c r="M3" s="625"/>
      <c r="N3" s="625"/>
      <c r="O3" s="625"/>
      <c r="P3" s="625"/>
      <c r="Q3" s="625"/>
      <c r="R3" s="625"/>
      <c r="S3" s="626"/>
      <c r="T3" s="616" t="s">
        <v>254</v>
      </c>
      <c r="U3" s="625"/>
      <c r="V3" s="625"/>
      <c r="W3" s="625"/>
      <c r="X3" s="625"/>
      <c r="Y3" s="625"/>
      <c r="Z3" s="625"/>
      <c r="AA3" s="625"/>
      <c r="AB3" s="625"/>
      <c r="AC3" s="626"/>
      <c r="AD3" s="616" t="s">
        <v>255</v>
      </c>
      <c r="AE3" s="626"/>
      <c r="AF3" s="294" t="s">
        <v>259</v>
      </c>
      <c r="AG3" s="603" t="s">
        <v>38</v>
      </c>
      <c r="AH3" s="604"/>
      <c r="AI3" s="603" t="s">
        <v>261</v>
      </c>
      <c r="AJ3" s="591"/>
      <c r="AK3" s="296"/>
      <c r="AL3" s="296"/>
      <c r="AM3" s="591" t="s">
        <v>262</v>
      </c>
      <c r="AN3" s="591"/>
      <c r="AO3" s="591" t="s">
        <v>263</v>
      </c>
      <c r="AP3" s="591" t="s">
        <v>326</v>
      </c>
      <c r="AQ3" s="604" t="s">
        <v>33</v>
      </c>
      <c r="AR3" s="609" t="s">
        <v>264</v>
      </c>
      <c r="AS3" s="609" t="s">
        <v>265</v>
      </c>
      <c r="AT3" s="609" t="s">
        <v>266</v>
      </c>
      <c r="AU3" s="603" t="s">
        <v>53</v>
      </c>
      <c r="AV3" s="591"/>
      <c r="AW3" s="591"/>
      <c r="AX3" s="591"/>
      <c r="AY3" s="591"/>
      <c r="AZ3" s="591"/>
      <c r="BA3" s="591"/>
      <c r="BB3" s="591"/>
      <c r="BC3" s="591"/>
      <c r="BD3" s="604"/>
      <c r="BE3" s="609" t="s">
        <v>1581</v>
      </c>
      <c r="BF3" s="609"/>
      <c r="BG3" s="295" t="s">
        <v>1442</v>
      </c>
      <c r="BH3" s="605" t="s">
        <v>299</v>
      </c>
      <c r="BI3" s="605" t="s">
        <v>300</v>
      </c>
      <c r="BJ3" s="605" t="s">
        <v>301</v>
      </c>
      <c r="BK3" s="605" t="s">
        <v>302</v>
      </c>
      <c r="BL3" s="605" t="s">
        <v>303</v>
      </c>
      <c r="BM3" s="605" t="s">
        <v>304</v>
      </c>
      <c r="BN3" s="605" t="s">
        <v>305</v>
      </c>
      <c r="BO3" s="605" t="s">
        <v>306</v>
      </c>
      <c r="BP3" s="605" t="s">
        <v>307</v>
      </c>
      <c r="BQ3" s="605" t="s">
        <v>308</v>
      </c>
      <c r="BR3" s="605" t="s">
        <v>309</v>
      </c>
      <c r="BS3" s="605" t="s">
        <v>310</v>
      </c>
      <c r="BT3" s="616" t="s">
        <v>311</v>
      </c>
      <c r="BU3" s="617" t="s">
        <v>1428</v>
      </c>
      <c r="CA3" s="299" t="s">
        <v>809</v>
      </c>
      <c r="CH3" s="590" t="s">
        <v>816</v>
      </c>
      <c r="CI3" s="590"/>
      <c r="CJ3" s="590"/>
      <c r="CK3" s="590"/>
      <c r="CL3" s="590"/>
      <c r="CM3" s="590"/>
      <c r="CN3" s="590"/>
      <c r="CO3" s="590"/>
      <c r="CP3" s="590"/>
      <c r="CQ3" s="590"/>
      <c r="CR3" s="590"/>
      <c r="CS3" s="620" t="s">
        <v>262</v>
      </c>
      <c r="CT3" s="620"/>
      <c r="CU3" s="620"/>
      <c r="CV3" s="620"/>
      <c r="CW3" s="620"/>
      <c r="CX3" s="620"/>
      <c r="CY3" s="620"/>
      <c r="CZ3" s="620"/>
      <c r="DA3" s="620"/>
      <c r="DB3" s="620"/>
      <c r="DC3" s="620"/>
      <c r="DD3" s="292"/>
      <c r="DE3" s="590" t="s">
        <v>825</v>
      </c>
      <c r="DF3" s="590"/>
      <c r="DG3" s="590"/>
      <c r="DH3" s="590"/>
      <c r="DI3" s="590"/>
      <c r="DJ3" s="590"/>
      <c r="DK3" s="590"/>
      <c r="DL3" s="590"/>
      <c r="DM3" s="590"/>
      <c r="DN3" s="590"/>
      <c r="DO3" s="620" t="s">
        <v>827</v>
      </c>
      <c r="DP3" s="620"/>
      <c r="DQ3" s="620"/>
      <c r="DR3" s="620"/>
      <c r="DS3" s="620"/>
      <c r="DT3" s="620"/>
      <c r="DU3" s="620"/>
      <c r="DV3" s="620"/>
      <c r="DW3" s="620"/>
      <c r="DX3" s="620"/>
      <c r="DY3" s="620"/>
      <c r="DZ3" s="590" t="s">
        <v>826</v>
      </c>
      <c r="EA3" s="590"/>
      <c r="EB3" s="590"/>
      <c r="EC3" s="590"/>
      <c r="ED3" s="590"/>
      <c r="EE3" s="590"/>
      <c r="EF3" s="590"/>
      <c r="EG3" s="590"/>
      <c r="EH3" s="590"/>
      <c r="EI3" s="590"/>
      <c r="EJ3" s="590"/>
      <c r="EK3" s="620" t="s">
        <v>833</v>
      </c>
      <c r="EL3" s="620"/>
      <c r="EM3" s="620"/>
      <c r="EN3" s="620"/>
      <c r="EO3" s="620"/>
      <c r="EP3" s="620"/>
      <c r="EQ3" s="620"/>
      <c r="ER3" s="620"/>
      <c r="ES3" s="620"/>
      <c r="ET3" s="620"/>
      <c r="EU3" s="620"/>
      <c r="EV3" s="619" t="s">
        <v>1026</v>
      </c>
      <c r="EW3" s="619" t="s">
        <v>1022</v>
      </c>
      <c r="EX3" s="619" t="s">
        <v>1023</v>
      </c>
      <c r="EY3" s="619" t="s">
        <v>1027</v>
      </c>
      <c r="EZ3" s="619" t="s">
        <v>1024</v>
      </c>
      <c r="FA3" s="619" t="s">
        <v>1025</v>
      </c>
      <c r="FB3" s="619" t="s">
        <v>33</v>
      </c>
    </row>
    <row r="4" spans="1:165" ht="57.5" customHeight="1" thickBot="1" x14ac:dyDescent="0.35">
      <c r="A4" s="300"/>
      <c r="B4" s="301"/>
      <c r="C4" s="302"/>
      <c r="D4" s="302"/>
      <c r="E4" s="302"/>
      <c r="F4" s="302"/>
      <c r="G4" s="302"/>
      <c r="H4" s="302"/>
      <c r="I4" s="302"/>
      <c r="J4" s="302" t="s">
        <v>105</v>
      </c>
      <c r="K4" s="302" t="s">
        <v>106</v>
      </c>
      <c r="L4" s="302" t="s">
        <v>107</v>
      </c>
      <c r="M4" s="302" t="s">
        <v>108</v>
      </c>
      <c r="N4" s="302" t="s">
        <v>109</v>
      </c>
      <c r="O4" s="302" t="s">
        <v>120</v>
      </c>
      <c r="P4" s="302" t="s">
        <v>111</v>
      </c>
      <c r="Q4" s="302" t="s">
        <v>112</v>
      </c>
      <c r="R4" s="302" t="s">
        <v>113</v>
      </c>
      <c r="S4" s="302" t="s">
        <v>110</v>
      </c>
      <c r="T4" s="302" t="s">
        <v>935</v>
      </c>
      <c r="U4" s="302" t="s">
        <v>936</v>
      </c>
      <c r="V4" s="302" t="s">
        <v>937</v>
      </c>
      <c r="W4" s="302" t="s">
        <v>938</v>
      </c>
      <c r="X4" s="302" t="s">
        <v>939</v>
      </c>
      <c r="Y4" s="302" t="s">
        <v>120</v>
      </c>
      <c r="Z4" s="302" t="s">
        <v>111</v>
      </c>
      <c r="AA4" s="302" t="s">
        <v>112</v>
      </c>
      <c r="AB4" s="302" t="s">
        <v>113</v>
      </c>
      <c r="AC4" s="302" t="s">
        <v>110</v>
      </c>
      <c r="AD4" s="302" t="s">
        <v>256</v>
      </c>
      <c r="AE4" s="302" t="s">
        <v>257</v>
      </c>
      <c r="AF4" s="302"/>
      <c r="AG4" s="302" t="s">
        <v>38</v>
      </c>
      <c r="AH4" s="302" t="s">
        <v>260</v>
      </c>
      <c r="AI4" s="302" t="s">
        <v>261</v>
      </c>
      <c r="AJ4" s="302" t="s">
        <v>260</v>
      </c>
      <c r="AK4" s="302" t="s">
        <v>715</v>
      </c>
      <c r="AL4" s="302" t="s">
        <v>716</v>
      </c>
      <c r="AM4" s="302" t="s">
        <v>262</v>
      </c>
      <c r="AN4" s="302" t="s">
        <v>260</v>
      </c>
      <c r="AO4" s="607"/>
      <c r="AP4" s="607"/>
      <c r="AQ4" s="608"/>
      <c r="AR4" s="610"/>
      <c r="AS4" s="610"/>
      <c r="AT4" s="610"/>
      <c r="AU4" s="302" t="s">
        <v>164</v>
      </c>
      <c r="AV4" s="302" t="s">
        <v>36</v>
      </c>
      <c r="AW4" s="302" t="s">
        <v>5</v>
      </c>
      <c r="AX4" s="302" t="s">
        <v>3</v>
      </c>
      <c r="AY4" s="302" t="s">
        <v>165</v>
      </c>
      <c r="AZ4" s="302" t="s">
        <v>166</v>
      </c>
      <c r="BA4" s="302" t="s">
        <v>1578</v>
      </c>
      <c r="BB4" s="302"/>
      <c r="BC4" s="302"/>
      <c r="BD4" s="302"/>
      <c r="BE4" s="610"/>
      <c r="BF4" s="610"/>
      <c r="BG4" s="345" t="s">
        <v>37</v>
      </c>
      <c r="BH4" s="606"/>
      <c r="BI4" s="606"/>
      <c r="BJ4" s="606"/>
      <c r="BK4" s="606"/>
      <c r="BL4" s="606"/>
      <c r="BM4" s="606"/>
      <c r="BN4" s="606"/>
      <c r="BO4" s="606"/>
      <c r="BP4" s="606"/>
      <c r="BQ4" s="606"/>
      <c r="BR4" s="606"/>
      <c r="BS4" s="606"/>
      <c r="BT4" s="592"/>
      <c r="BU4" s="618"/>
      <c r="BY4" s="305"/>
      <c r="BZ4" s="306" t="str">
        <f>'AR-Hierarchy '!K4</f>
        <v>Basic Design</v>
      </c>
      <c r="CA4" s="306" t="str">
        <f>'AR-Hierarchy '!K5</f>
        <v>Standard Design</v>
      </c>
      <c r="CB4" s="306" t="str">
        <f>'AR-Hierarchy '!K6</f>
        <v xml:space="preserve">Superior Design </v>
      </c>
      <c r="CC4" s="306" t="str">
        <f>'AR-Hierarchy '!K7</f>
        <v>None</v>
      </c>
      <c r="CD4" s="306" t="str">
        <f>BZ4</f>
        <v>Basic Design</v>
      </c>
      <c r="CE4" s="306" t="str">
        <f>CA4</f>
        <v>Standard Design</v>
      </c>
      <c r="CF4" s="306" t="str">
        <f>CB4</f>
        <v xml:space="preserve">Superior Design </v>
      </c>
      <c r="CG4" s="305" t="s">
        <v>117</v>
      </c>
      <c r="CH4" s="307" t="str">
        <f>BY5</f>
        <v>Substructure</v>
      </c>
      <c r="CI4" s="308" t="str">
        <f>BY6</f>
        <v>Structure</v>
      </c>
      <c r="CJ4" s="308" t="str">
        <f>BY7</f>
        <v>Roofing</v>
      </c>
      <c r="CK4" s="307" t="str">
        <f>BY8</f>
        <v>Exterior Wall Cladding</v>
      </c>
      <c r="CL4" s="308" t="str">
        <f>BY9</f>
        <v>Fitouts</v>
      </c>
      <c r="CM4" s="309" t="str">
        <f>BY10</f>
        <v>Floor Covering</v>
      </c>
      <c r="CN4" s="310" t="str">
        <f>BY11</f>
        <v>Service Mechanical</v>
      </c>
      <c r="CO4" s="310" t="str">
        <f>BY12</f>
        <v>Services Electrical</v>
      </c>
      <c r="CP4" s="310" t="str">
        <f>BY13</f>
        <v>Services Sanitation</v>
      </c>
      <c r="CQ4" s="310" t="str">
        <f>BY14</f>
        <v>Services Water</v>
      </c>
      <c r="CR4" s="310" t="s">
        <v>823</v>
      </c>
      <c r="CS4" s="306" t="str">
        <f>CH4</f>
        <v>Substructure</v>
      </c>
      <c r="CT4" s="306" t="str">
        <f t="shared" ref="CT4:DB4" si="0">CI4</f>
        <v>Structure</v>
      </c>
      <c r="CU4" s="306" t="str">
        <f t="shared" si="0"/>
        <v>Roofing</v>
      </c>
      <c r="CV4" s="306" t="str">
        <f t="shared" si="0"/>
        <v>Exterior Wall Cladding</v>
      </c>
      <c r="CW4" s="306" t="str">
        <f t="shared" si="0"/>
        <v>Fitouts</v>
      </c>
      <c r="CX4" s="306" t="str">
        <f t="shared" si="0"/>
        <v>Floor Covering</v>
      </c>
      <c r="CY4" s="306" t="str">
        <f t="shared" si="0"/>
        <v>Service Mechanical</v>
      </c>
      <c r="CZ4" s="306" t="str">
        <f t="shared" si="0"/>
        <v>Services Electrical</v>
      </c>
      <c r="DA4" s="306" t="str">
        <f t="shared" si="0"/>
        <v>Services Sanitation</v>
      </c>
      <c r="DB4" s="306" t="str">
        <f t="shared" si="0"/>
        <v>Services Water</v>
      </c>
      <c r="DC4" s="306" t="s">
        <v>824</v>
      </c>
      <c r="DD4" s="307" t="s">
        <v>1028</v>
      </c>
      <c r="DE4" s="307" t="str">
        <f>CS4</f>
        <v>Substructure</v>
      </c>
      <c r="DF4" s="307" t="str">
        <f t="shared" ref="DF4:DN4" si="1">CT4</f>
        <v>Structure</v>
      </c>
      <c r="DG4" s="307" t="str">
        <f t="shared" si="1"/>
        <v>Roofing</v>
      </c>
      <c r="DH4" s="307" t="str">
        <f t="shared" si="1"/>
        <v>Exterior Wall Cladding</v>
      </c>
      <c r="DI4" s="307" t="str">
        <f t="shared" si="1"/>
        <v>Fitouts</v>
      </c>
      <c r="DJ4" s="307" t="str">
        <f t="shared" si="1"/>
        <v>Floor Covering</v>
      </c>
      <c r="DK4" s="307" t="str">
        <f t="shared" si="1"/>
        <v>Service Mechanical</v>
      </c>
      <c r="DL4" s="307" t="str">
        <f t="shared" si="1"/>
        <v>Services Electrical</v>
      </c>
      <c r="DM4" s="307" t="str">
        <f t="shared" si="1"/>
        <v>Services Sanitation</v>
      </c>
      <c r="DN4" s="307" t="str">
        <f t="shared" si="1"/>
        <v>Services Water</v>
      </c>
      <c r="DO4" s="311" t="str">
        <f>DE4</f>
        <v>Substructure</v>
      </c>
      <c r="DP4" s="311" t="str">
        <f t="shared" ref="DP4:DX4" si="2">DF4</f>
        <v>Structure</v>
      </c>
      <c r="DQ4" s="311" t="str">
        <f t="shared" si="2"/>
        <v>Roofing</v>
      </c>
      <c r="DR4" s="311" t="str">
        <f t="shared" si="2"/>
        <v>Exterior Wall Cladding</v>
      </c>
      <c r="DS4" s="311" t="str">
        <f t="shared" si="2"/>
        <v>Fitouts</v>
      </c>
      <c r="DT4" s="311" t="str">
        <f t="shared" si="2"/>
        <v>Floor Covering</v>
      </c>
      <c r="DU4" s="311" t="str">
        <f t="shared" si="2"/>
        <v>Service Mechanical</v>
      </c>
      <c r="DV4" s="311" t="str">
        <f t="shared" si="2"/>
        <v>Services Electrical</v>
      </c>
      <c r="DW4" s="311" t="str">
        <f t="shared" si="2"/>
        <v>Services Sanitation</v>
      </c>
      <c r="DX4" s="311" t="str">
        <f t="shared" si="2"/>
        <v>Services Water</v>
      </c>
      <c r="DY4" s="311" t="s">
        <v>1021</v>
      </c>
      <c r="DZ4" s="310" t="str">
        <f>DO4</f>
        <v>Substructure</v>
      </c>
      <c r="EA4" s="310" t="str">
        <f t="shared" ref="EA4:EI4" si="3">DP4</f>
        <v>Structure</v>
      </c>
      <c r="EB4" s="310" t="str">
        <f t="shared" si="3"/>
        <v>Roofing</v>
      </c>
      <c r="EC4" s="310" t="str">
        <f t="shared" si="3"/>
        <v>Exterior Wall Cladding</v>
      </c>
      <c r="ED4" s="310" t="str">
        <f t="shared" si="3"/>
        <v>Fitouts</v>
      </c>
      <c r="EE4" s="310" t="str">
        <f t="shared" si="3"/>
        <v>Floor Covering</v>
      </c>
      <c r="EF4" s="310" t="str">
        <f t="shared" si="3"/>
        <v>Service Mechanical</v>
      </c>
      <c r="EG4" s="310" t="str">
        <f t="shared" si="3"/>
        <v>Services Electrical</v>
      </c>
      <c r="EH4" s="310" t="str">
        <f t="shared" si="3"/>
        <v>Services Sanitation</v>
      </c>
      <c r="EI4" s="310" t="str">
        <f t="shared" si="3"/>
        <v>Services Water</v>
      </c>
      <c r="EJ4" s="310" t="s">
        <v>1021</v>
      </c>
      <c r="EK4" s="311" t="str">
        <f>DZ4</f>
        <v>Substructure</v>
      </c>
      <c r="EL4" s="311" t="str">
        <f t="shared" ref="EL4:ET4" si="4">EA4</f>
        <v>Structure</v>
      </c>
      <c r="EM4" s="311" t="str">
        <f t="shared" si="4"/>
        <v>Roofing</v>
      </c>
      <c r="EN4" s="311" t="str">
        <f t="shared" si="4"/>
        <v>Exterior Wall Cladding</v>
      </c>
      <c r="EO4" s="311" t="str">
        <f t="shared" si="4"/>
        <v>Fitouts</v>
      </c>
      <c r="EP4" s="311" t="str">
        <f t="shared" si="4"/>
        <v>Floor Covering</v>
      </c>
      <c r="EQ4" s="311" t="str">
        <f t="shared" si="4"/>
        <v>Service Mechanical</v>
      </c>
      <c r="ER4" s="311" t="str">
        <f t="shared" si="4"/>
        <v>Services Electrical</v>
      </c>
      <c r="ES4" s="311" t="str">
        <f t="shared" si="4"/>
        <v>Services Sanitation</v>
      </c>
      <c r="ET4" s="311" t="str">
        <f t="shared" si="4"/>
        <v>Services Water</v>
      </c>
      <c r="EU4" s="311" t="s">
        <v>52</v>
      </c>
      <c r="EV4" s="619"/>
      <c r="EW4" s="619"/>
      <c r="EX4" s="619"/>
      <c r="EY4" s="619"/>
      <c r="EZ4" s="619"/>
      <c r="FA4" s="619"/>
      <c r="FB4" s="619"/>
    </row>
    <row r="5" spans="1:165" ht="35" customHeight="1" thickTop="1" thickBot="1" x14ac:dyDescent="0.35">
      <c r="A5" s="312" t="s">
        <v>1787</v>
      </c>
      <c r="B5" s="313" t="s">
        <v>1682</v>
      </c>
      <c r="C5" s="313" t="s">
        <v>1681</v>
      </c>
      <c r="D5" s="313" t="s">
        <v>1681</v>
      </c>
      <c r="E5" s="313" t="s">
        <v>8</v>
      </c>
      <c r="F5" s="313" t="s">
        <v>945</v>
      </c>
      <c r="G5" s="313" t="s">
        <v>724</v>
      </c>
      <c r="H5" s="313" t="s">
        <v>1683</v>
      </c>
      <c r="I5" s="313" t="s">
        <v>1684</v>
      </c>
      <c r="J5" s="313" t="s">
        <v>1045</v>
      </c>
      <c r="K5" s="313" t="s">
        <v>1046</v>
      </c>
      <c r="L5" s="313" t="s">
        <v>1055</v>
      </c>
      <c r="M5" s="313" t="s">
        <v>1059</v>
      </c>
      <c r="N5" s="313" t="s">
        <v>1069</v>
      </c>
      <c r="O5" s="313" t="s">
        <v>1371</v>
      </c>
      <c r="P5" s="313" t="s">
        <v>1077</v>
      </c>
      <c r="Q5" s="313" t="s">
        <v>1082</v>
      </c>
      <c r="R5" s="313" t="s">
        <v>1086</v>
      </c>
      <c r="S5" s="313" t="s">
        <v>1089</v>
      </c>
      <c r="T5" s="313" t="s">
        <v>104</v>
      </c>
      <c r="U5" s="313" t="s">
        <v>104</v>
      </c>
      <c r="V5" s="313" t="s">
        <v>104</v>
      </c>
      <c r="W5" s="313" t="s">
        <v>104</v>
      </c>
      <c r="X5" s="313" t="s">
        <v>104</v>
      </c>
      <c r="Y5" s="313" t="s">
        <v>104</v>
      </c>
      <c r="Z5" s="313" t="s">
        <v>104</v>
      </c>
      <c r="AA5" s="313" t="s">
        <v>104</v>
      </c>
      <c r="AB5" s="313" t="s">
        <v>104</v>
      </c>
      <c r="AC5" s="313" t="s">
        <v>104</v>
      </c>
      <c r="AD5" s="313" t="s">
        <v>1771</v>
      </c>
      <c r="AE5" s="313">
        <f>2*12.1*17.1</f>
        <v>413.82000000000005</v>
      </c>
      <c r="AF5" s="313">
        <f>'GRC and TUL Assumptions'!G6</f>
        <v>60</v>
      </c>
      <c r="AG5" s="314">
        <v>2022</v>
      </c>
      <c r="AH5" s="313" t="s">
        <v>800</v>
      </c>
      <c r="AI5" s="313">
        <f>AG5</f>
        <v>2022</v>
      </c>
      <c r="AJ5" s="313" t="str">
        <f>AH5</f>
        <v>Estimated</v>
      </c>
      <c r="AK5" s="313"/>
      <c r="AL5" s="313"/>
      <c r="AM5" s="315">
        <f>DC5+EW5</f>
        <v>1308619.5034375002</v>
      </c>
      <c r="AN5" s="315" t="s">
        <v>800</v>
      </c>
      <c r="AO5" s="509">
        <f>EJ5+FA5</f>
        <v>0</v>
      </c>
      <c r="AP5" s="509">
        <f>AM5-AO5</f>
        <v>1308619.5034375002</v>
      </c>
      <c r="AQ5" s="509">
        <f>EU5+FB5</f>
        <v>36334.579718749999</v>
      </c>
      <c r="AR5" s="509">
        <f>AP5-AQ5</f>
        <v>1272284.9237187502</v>
      </c>
      <c r="AS5" s="510">
        <f>HLOOKUP($C$1,'Inflation Adjustments'!$BI$3:$BT$4,2)*CR5</f>
        <v>1389912.4289531251</v>
      </c>
      <c r="AT5" s="511">
        <f>IF(BU5="In Service",'Maintenace Cost Assumptions'!$B$3*AS5,0)</f>
        <v>6949.5621447656258</v>
      </c>
      <c r="AU5" s="318">
        <v>5</v>
      </c>
      <c r="AV5" s="318">
        <v>5</v>
      </c>
      <c r="AW5" s="318">
        <v>5</v>
      </c>
      <c r="AX5" s="318">
        <v>5</v>
      </c>
      <c r="AY5" s="318">
        <v>5</v>
      </c>
      <c r="AZ5" s="318">
        <v>5</v>
      </c>
      <c r="BA5" s="318">
        <v>2</v>
      </c>
      <c r="BB5" s="313"/>
      <c r="BC5" s="313"/>
      <c r="BD5" s="313"/>
      <c r="BE5" s="318">
        <v>4</v>
      </c>
      <c r="BF5" s="313"/>
      <c r="BG5" s="319">
        <f>(AU5*'Condition rating weights'!H$8+AV5*'Condition rating weights'!I$8+AW5*'Condition rating weights'!J$8+AX5*'Condition rating weights'!K$8+AY5*'Condition rating weights'!L$8+AZ5*'Condition rating weights'!M$8+BA5*'Condition rating weights'!N$8+BB5*'Condition rating weights'!O$8+BC5*'Condition rating weights'!P$8+BD5*'Condition rating weights'!Q$8+BE5*'Condition rating weights'!R$8+BF5*'Condition rating weights'!S$8)/100</f>
        <v>0.88</v>
      </c>
      <c r="BH5" s="320">
        <v>1</v>
      </c>
      <c r="BI5" s="320">
        <v>211</v>
      </c>
      <c r="BJ5" s="320" t="s">
        <v>12</v>
      </c>
      <c r="BK5" s="320" t="s">
        <v>959</v>
      </c>
      <c r="BL5" s="320" t="s">
        <v>960</v>
      </c>
      <c r="BM5" s="320" t="s">
        <v>961</v>
      </c>
      <c r="BN5" s="320" t="s">
        <v>117</v>
      </c>
      <c r="BO5" s="320" t="s">
        <v>962</v>
      </c>
      <c r="BP5" s="320" t="s">
        <v>962</v>
      </c>
      <c r="BQ5" s="320" t="s">
        <v>963</v>
      </c>
      <c r="BR5" s="320" t="s">
        <v>964</v>
      </c>
      <c r="BS5" s="320" t="s">
        <v>964</v>
      </c>
      <c r="BT5" s="321" t="s">
        <v>965</v>
      </c>
      <c r="BU5" s="387" t="s">
        <v>1430</v>
      </c>
      <c r="BV5" s="346"/>
      <c r="BY5" s="306" t="str">
        <f>'GRC and TUL Assumptions'!A5</f>
        <v>Substructure</v>
      </c>
      <c r="BZ5" s="305">
        <f>'GRC and TUL Assumptions'!C5</f>
        <v>150</v>
      </c>
      <c r="CA5" s="305">
        <f>'GRC and TUL Assumptions'!D5</f>
        <v>200</v>
      </c>
      <c r="CB5" s="305">
        <f>'GRC and TUL Assumptions'!E5</f>
        <v>300</v>
      </c>
      <c r="CC5" s="305">
        <v>0</v>
      </c>
      <c r="CD5" s="305">
        <f>'GRC and TUL Assumptions'!F5</f>
        <v>40</v>
      </c>
      <c r="CE5" s="305">
        <f>'GRC and TUL Assumptions'!G5</f>
        <v>60</v>
      </c>
      <c r="CF5" s="305">
        <f>'GRC and TUL Assumptions'!H5</f>
        <v>60</v>
      </c>
      <c r="CG5" s="305">
        <f>CD5</f>
        <v>40</v>
      </c>
      <c r="CH5" s="323">
        <f t="shared" ref="CH5:CH20" si="5">(HLOOKUP(T5,$BZ$4:$CC$14,2,TRUE))*$AE5</f>
        <v>82764.000000000015</v>
      </c>
      <c r="CI5" s="323">
        <f t="shared" ref="CI5:CI20" si="6">(HLOOKUP(U5,$BZ$4:$CD$14,3,TRUE))*$AE5</f>
        <v>331056.00000000006</v>
      </c>
      <c r="CJ5" s="323">
        <f t="shared" ref="CJ5:CJ20" si="7">(HLOOKUP(V5,$BZ$4:$CD$14,4,TRUE))*$AE5</f>
        <v>62073.000000000007</v>
      </c>
      <c r="CK5" s="323">
        <f t="shared" ref="CK5:CK20" si="8">(HLOOKUP(W5,$BZ$4:$CD$14,5,FALSE))*$AE5</f>
        <v>95178.6</v>
      </c>
      <c r="CL5" s="323">
        <f t="shared" ref="CL5:CL20" si="9">(HLOOKUP(X5,$BZ$4:$CD$14,6,FALSE))*$AE5</f>
        <v>144837.00000000003</v>
      </c>
      <c r="CM5" s="323">
        <f t="shared" ref="CM5:CM20" si="10">(HLOOKUP(Y5,$BZ$4:$CD$14,7,FALSE))*$AE5</f>
        <v>62073.000000000007</v>
      </c>
      <c r="CN5" s="323">
        <f t="shared" ref="CN5:CN20" si="11">(HLOOKUP(Z5,$BZ$4:$CD$14,8,FALSE))*$AE5</f>
        <v>41382.000000000007</v>
      </c>
      <c r="CO5" s="323">
        <f t="shared" ref="CO5:CO20" si="12">(HLOOKUP(AA5,$BZ$4:$CD$14,9,FALSE))*$AE5</f>
        <v>41382.000000000007</v>
      </c>
      <c r="CP5" s="323">
        <f t="shared" ref="CP5:CP20" si="13">(HLOOKUP(AB5,$BZ$4:$CD$14,10,FALSE))*$AE5</f>
        <v>53796.600000000006</v>
      </c>
      <c r="CQ5" s="323">
        <f t="shared" ref="CQ5:CQ20" si="14">(HLOOKUP(AC5,$BZ$4:$CD$14,11,FALSE))*$AE5</f>
        <v>16552.800000000003</v>
      </c>
      <c r="CR5" s="324">
        <f>SUM(CH5:CQ5)</f>
        <v>931095.00000000012</v>
      </c>
      <c r="CS5" s="325">
        <f>(HLOOKUP($AI5,'Inflation Adjustments'!$M$3:$BT$4,2,TRUE))*CH5</f>
        <v>107432.84475</v>
      </c>
      <c r="CT5" s="325">
        <f>(HLOOKUP($AI5,'Inflation Adjustments'!$M$3:$BT$4,2,TRUE))*CI5</f>
        <v>429731.37900000002</v>
      </c>
      <c r="CU5" s="325">
        <f>(HLOOKUP($AI5,'Inflation Adjustments'!$M$3:$BT$4,2,TRUE))*CJ5</f>
        <v>80574.633562500007</v>
      </c>
      <c r="CV5" s="325">
        <f>(HLOOKUP($AI5,'Inflation Adjustments'!$M$3:$BT$4,2,TRUE))*CK5</f>
        <v>123547.77146249999</v>
      </c>
      <c r="CW5" s="325">
        <f>(HLOOKUP($AI5,'Inflation Adjustments'!$M$3:$BT$4,2,TRUE))*CL5</f>
        <v>188007.47831250002</v>
      </c>
      <c r="CX5" s="325">
        <f>(HLOOKUP($AI5,'Inflation Adjustments'!$M$3:$BT$4,2,TRUE))*CM5</f>
        <v>80574.633562500007</v>
      </c>
      <c r="CY5" s="325">
        <f>(HLOOKUP($AI5,'Inflation Adjustments'!$M$3:$BT$4,2,TRUE))*CN5</f>
        <v>53716.422375000002</v>
      </c>
      <c r="CZ5" s="325">
        <f>(HLOOKUP($AI5,'Inflation Adjustments'!$M$3:$BT$4,2,TRUE))*CO5</f>
        <v>53716.422375000002</v>
      </c>
      <c r="DA5" s="325">
        <f>(HLOOKUP($AI5,'Inflation Adjustments'!$M$3:$BT$4,2,TRUE))*CP5</f>
        <v>69831.349087499999</v>
      </c>
      <c r="DB5" s="325">
        <f>(HLOOKUP($AI5,'Inflation Adjustments'!$M$3:$BT$4,2,TRUE))*CQ5</f>
        <v>21486.568950000001</v>
      </c>
      <c r="DC5" s="325">
        <f>SUM(CS5:DB5)</f>
        <v>1208619.5034375002</v>
      </c>
      <c r="DD5" s="326">
        <f t="shared" ref="DD5:DD20" si="15">IF(($C$1-AI5-1)&lt;0,0,$C$1-AI5-1)</f>
        <v>0</v>
      </c>
      <c r="DE5" s="323">
        <f t="shared" ref="DE5:DE20" si="16">(HLOOKUP(T5,$CD$4:$CG$14,2,FALSE))</f>
        <v>60</v>
      </c>
      <c r="DF5" s="323">
        <f t="shared" ref="DF5:DF20" si="17">(HLOOKUP(U5,$CD$4:$CG$14,3,FALSE))</f>
        <v>60</v>
      </c>
      <c r="DG5" s="323">
        <f t="shared" ref="DG5:DG20" si="18">(HLOOKUP(V5,$CD$4:$CG$14,4,FALSE))</f>
        <v>20</v>
      </c>
      <c r="DH5" s="323">
        <f t="shared" ref="DH5:DH20" si="19">(HLOOKUP(W5,$CD$4:$CG$14,5,FALSE))</f>
        <v>30</v>
      </c>
      <c r="DI5" s="323">
        <f t="shared" ref="DI5:DI20" si="20">(HLOOKUP(X5,$CD$4:$CG$14,6,FALSE))</f>
        <v>60</v>
      </c>
      <c r="DJ5" s="323">
        <f t="shared" ref="DJ5:DJ20" si="21">(HLOOKUP(Y5,$CD$4:$CG$14,7,FALSE))</f>
        <v>30</v>
      </c>
      <c r="DK5" s="323">
        <f t="shared" ref="DK5:DL20" si="22">(HLOOKUP(Z5,$CD$4:$CG$14,8,FALSE))</f>
        <v>20</v>
      </c>
      <c r="DL5" s="323">
        <f t="shared" si="22"/>
        <v>20</v>
      </c>
      <c r="DM5" s="323">
        <f t="shared" ref="DM5:DM20" si="23">(HLOOKUP(AB5,$CD$4:$CG$14,9))</f>
        <v>30</v>
      </c>
      <c r="DN5" s="323">
        <f t="shared" ref="DN5:DN20" si="24">(HLOOKUP(AC5,$CD$4:$CG$14,10))</f>
        <v>30</v>
      </c>
      <c r="DO5" s="327">
        <f t="shared" ref="DO5:DX20" si="25">CS5/DE5</f>
        <v>1790.5474125000001</v>
      </c>
      <c r="DP5" s="327">
        <f t="shared" si="25"/>
        <v>7162.1896500000003</v>
      </c>
      <c r="DQ5" s="327">
        <f t="shared" si="25"/>
        <v>4028.7316781250001</v>
      </c>
      <c r="DR5" s="327">
        <f t="shared" si="25"/>
        <v>4118.2590487500001</v>
      </c>
      <c r="DS5" s="327">
        <f t="shared" si="25"/>
        <v>3133.4579718750006</v>
      </c>
      <c r="DT5" s="327">
        <f t="shared" si="25"/>
        <v>2685.8211187500001</v>
      </c>
      <c r="DU5" s="327">
        <f t="shared" si="25"/>
        <v>2685.8211187500001</v>
      </c>
      <c r="DV5" s="327">
        <f t="shared" si="25"/>
        <v>2685.8211187500001</v>
      </c>
      <c r="DW5" s="327">
        <f t="shared" si="25"/>
        <v>2327.7116362500001</v>
      </c>
      <c r="DX5" s="327">
        <f t="shared" si="25"/>
        <v>716.21896500000003</v>
      </c>
      <c r="DY5" s="327">
        <f>SUM(DO5:DX5)</f>
        <v>31334.579718749999</v>
      </c>
      <c r="DZ5" s="323">
        <f t="shared" ref="DZ5:EI20" si="26">IF(DO5*$DD5&gt;CS5,CS5,DO5*$DD5)</f>
        <v>0</v>
      </c>
      <c r="EA5" s="323">
        <f t="shared" si="26"/>
        <v>0</v>
      </c>
      <c r="EB5" s="323">
        <f t="shared" si="26"/>
        <v>0</v>
      </c>
      <c r="EC5" s="323">
        <f t="shared" si="26"/>
        <v>0</v>
      </c>
      <c r="ED5" s="323">
        <f t="shared" si="26"/>
        <v>0</v>
      </c>
      <c r="EE5" s="323">
        <f t="shared" si="26"/>
        <v>0</v>
      </c>
      <c r="EF5" s="323">
        <f t="shared" si="26"/>
        <v>0</v>
      </c>
      <c r="EG5" s="323">
        <f t="shared" si="26"/>
        <v>0</v>
      </c>
      <c r="EH5" s="323">
        <f t="shared" si="26"/>
        <v>0</v>
      </c>
      <c r="EI5" s="323">
        <f t="shared" si="26"/>
        <v>0</v>
      </c>
      <c r="EJ5" s="324">
        <f>SUM(DZ5:EI5)</f>
        <v>0</v>
      </c>
      <c r="EK5" s="327">
        <f t="shared" ref="EK5:ET20" si="27">IF(DO5&lt;(CS5-DZ5),DO5,(CS5-DZ5))</f>
        <v>1790.5474125000001</v>
      </c>
      <c r="EL5" s="327">
        <f t="shared" si="27"/>
        <v>7162.1896500000003</v>
      </c>
      <c r="EM5" s="327">
        <f t="shared" si="27"/>
        <v>4028.7316781250001</v>
      </c>
      <c r="EN5" s="327">
        <f t="shared" si="27"/>
        <v>4118.2590487500001</v>
      </c>
      <c r="EO5" s="327">
        <f t="shared" si="27"/>
        <v>3133.4579718750006</v>
      </c>
      <c r="EP5" s="327">
        <f t="shared" si="27"/>
        <v>2685.8211187500001</v>
      </c>
      <c r="EQ5" s="327">
        <f t="shared" si="27"/>
        <v>2685.8211187500001</v>
      </c>
      <c r="ER5" s="327">
        <f t="shared" si="27"/>
        <v>2685.8211187500001</v>
      </c>
      <c r="ES5" s="327">
        <f t="shared" si="27"/>
        <v>2327.7116362500001</v>
      </c>
      <c r="ET5" s="327">
        <f t="shared" si="27"/>
        <v>716.21896500000003</v>
      </c>
      <c r="EU5" s="325">
        <f>SUM(EK5:ET5)</f>
        <v>31334.579718749999</v>
      </c>
      <c r="EV5" s="328">
        <f>AK5</f>
        <v>0</v>
      </c>
      <c r="EW5" s="324">
        <v>100000</v>
      </c>
      <c r="EX5" s="328">
        <f>DG5</f>
        <v>20</v>
      </c>
      <c r="EY5" s="328"/>
      <c r="EZ5" s="323">
        <f>EW5/EX5</f>
        <v>5000</v>
      </c>
      <c r="FA5" s="323">
        <f>IF(EY5*EZ5&lt;EW5,EY5*EZ5,EW5)</f>
        <v>0</v>
      </c>
      <c r="FB5" s="323">
        <f>IF(EZ5&lt;(EW5-FA5),EZ5,(E46-FA5))</f>
        <v>5000</v>
      </c>
      <c r="FD5" s="589" t="s">
        <v>1671</v>
      </c>
      <c r="FE5" s="589"/>
      <c r="FF5" s="589"/>
      <c r="FG5" s="589"/>
      <c r="FH5" s="589"/>
      <c r="FI5" s="589"/>
    </row>
    <row r="6" spans="1:165" ht="70.5" customHeight="1" thickTop="1" thickBot="1" x14ac:dyDescent="0.35">
      <c r="A6" s="330"/>
      <c r="B6" s="318"/>
      <c r="C6" s="318"/>
      <c r="D6" s="318"/>
      <c r="E6" s="318"/>
      <c r="F6" s="318"/>
      <c r="G6" s="318"/>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7"/>
      <c r="AN6" s="317"/>
      <c r="AO6" s="509" t="e">
        <f t="shared" ref="AO6:AO10" si="28">EJ6+FA6</f>
        <v>#N/A</v>
      </c>
      <c r="AP6" s="509" t="e">
        <f t="shared" ref="AP6:AP10" si="29">AM6-AO6</f>
        <v>#N/A</v>
      </c>
      <c r="AQ6" s="509" t="e">
        <f t="shared" ref="AQ6:AQ10" si="30">EU6+FB6</f>
        <v>#N/A</v>
      </c>
      <c r="AR6" s="509" t="e">
        <f t="shared" ref="AR6:AR10" si="31">AP6-AQ6</f>
        <v>#N/A</v>
      </c>
      <c r="AS6" s="510" t="e">
        <f>HLOOKUP($C$1,'Inflation Adjustments'!$BI$3:$BT$4,2)*CR6</f>
        <v>#N/A</v>
      </c>
      <c r="AT6" s="511">
        <f>IF(BU6="In Service",'Maintenace Cost Assumptions'!$B$3*AS6,0)</f>
        <v>0</v>
      </c>
      <c r="AU6" s="318"/>
      <c r="AV6" s="318"/>
      <c r="AW6" s="318"/>
      <c r="AX6" s="318"/>
      <c r="AY6" s="318"/>
      <c r="AZ6" s="318"/>
      <c r="BA6" s="318"/>
      <c r="BB6" s="318"/>
      <c r="BC6" s="318"/>
      <c r="BD6" s="318"/>
      <c r="BE6" s="318"/>
      <c r="BF6" s="318"/>
      <c r="BG6" s="319">
        <f>(AU6*'Condition rating weights'!H$8+AV6*'Condition rating weights'!I$8+AW6*'Condition rating weights'!J$8+AX6*'Condition rating weights'!K$8+AY6*'Condition rating weights'!L$8+AZ6*'Condition rating weights'!M$8+BA6*'Condition rating weights'!N$8+BB6*'Condition rating weights'!O$8+BC6*'Condition rating weights'!P$8+BD6*'Condition rating weights'!Q$8+BE6*'Condition rating weights'!R$8+BF6*'Condition rating weights'!S$8)/100</f>
        <v>0</v>
      </c>
      <c r="BH6" s="333"/>
      <c r="BI6" s="333"/>
      <c r="BJ6" s="333"/>
      <c r="BK6" s="333"/>
      <c r="BL6" s="333"/>
      <c r="BM6" s="333"/>
      <c r="BN6" s="333"/>
      <c r="BO6" s="333"/>
      <c r="BP6" s="333"/>
      <c r="BQ6" s="333"/>
      <c r="BR6" s="333"/>
      <c r="BS6" s="333"/>
      <c r="BT6" s="334"/>
      <c r="BU6" s="335"/>
      <c r="BV6" s="255"/>
      <c r="BY6" s="306" t="str">
        <f>'GRC and TUL Assumptions'!A6</f>
        <v>Structure</v>
      </c>
      <c r="BZ6" s="305">
        <f>'GRC and TUL Assumptions'!C6</f>
        <v>500</v>
      </c>
      <c r="CA6" s="305">
        <f>'GRC and TUL Assumptions'!D6</f>
        <v>800</v>
      </c>
      <c r="CB6" s="305">
        <f>'GRC and TUL Assumptions'!E6</f>
        <v>1500</v>
      </c>
      <c r="CC6" s="305">
        <v>0</v>
      </c>
      <c r="CD6" s="305">
        <f>'GRC and TUL Assumptions'!F6</f>
        <v>40</v>
      </c>
      <c r="CE6" s="305">
        <f>'GRC and TUL Assumptions'!G6</f>
        <v>60</v>
      </c>
      <c r="CF6" s="305">
        <f>'GRC and TUL Assumptions'!H6</f>
        <v>60</v>
      </c>
      <c r="CG6" s="305">
        <f t="shared" ref="CG6:CG14" si="32">CD6</f>
        <v>40</v>
      </c>
      <c r="CH6" s="323" t="e">
        <f t="shared" si="5"/>
        <v>#N/A</v>
      </c>
      <c r="CI6" s="323" t="e">
        <f t="shared" si="6"/>
        <v>#N/A</v>
      </c>
      <c r="CJ6" s="323" t="e">
        <f t="shared" si="7"/>
        <v>#N/A</v>
      </c>
      <c r="CK6" s="323" t="e">
        <f t="shared" si="8"/>
        <v>#N/A</v>
      </c>
      <c r="CL6" s="323" t="e">
        <f t="shared" si="9"/>
        <v>#N/A</v>
      </c>
      <c r="CM6" s="323" t="e">
        <f t="shared" si="10"/>
        <v>#N/A</v>
      </c>
      <c r="CN6" s="323" t="e">
        <f t="shared" si="11"/>
        <v>#N/A</v>
      </c>
      <c r="CO6" s="323" t="e">
        <f t="shared" si="12"/>
        <v>#N/A</v>
      </c>
      <c r="CP6" s="323" t="e">
        <f t="shared" si="13"/>
        <v>#N/A</v>
      </c>
      <c r="CQ6" s="323" t="e">
        <f t="shared" si="14"/>
        <v>#N/A</v>
      </c>
      <c r="CR6" s="324" t="e">
        <f t="shared" ref="CR6:CR20" si="33">SUM(CH6:CQ6)</f>
        <v>#N/A</v>
      </c>
      <c r="CS6" s="325" t="e">
        <f>(HLOOKUP($AI6,'Inflation Adjustments'!$M$3:$BT$4,2,TRUE))*CH6</f>
        <v>#N/A</v>
      </c>
      <c r="CT6" s="325" t="e">
        <f>(HLOOKUP($AI6,'Inflation Adjustments'!$M$3:$BT$4,2,TRUE))*CI6</f>
        <v>#N/A</v>
      </c>
      <c r="CU6" s="325" t="e">
        <f>(HLOOKUP($AI6,'Inflation Adjustments'!$M$3:$BT$4,2,TRUE))*CJ6</f>
        <v>#N/A</v>
      </c>
      <c r="CV6" s="325" t="e">
        <f>(HLOOKUP($AI6,'Inflation Adjustments'!$M$3:$BT$4,2,TRUE))*CK6</f>
        <v>#N/A</v>
      </c>
      <c r="CW6" s="325" t="e">
        <f>(HLOOKUP($AI6,'Inflation Adjustments'!$M$3:$BT$4,2,TRUE))*CL6</f>
        <v>#N/A</v>
      </c>
      <c r="CX6" s="325" t="e">
        <f>(HLOOKUP($AI6,'Inflation Adjustments'!$M$3:$BT$4,2,TRUE))*CM6</f>
        <v>#N/A</v>
      </c>
      <c r="CY6" s="325" t="e">
        <f>(HLOOKUP($AI6,'Inflation Adjustments'!$M$3:$BT$4,2,TRUE))*CN6</f>
        <v>#N/A</v>
      </c>
      <c r="CZ6" s="325" t="e">
        <f>(HLOOKUP($AI6,'Inflation Adjustments'!$M$3:$BT$4,2,TRUE))*CO6</f>
        <v>#N/A</v>
      </c>
      <c r="DA6" s="325" t="e">
        <f>(HLOOKUP($AI6,'Inflation Adjustments'!$M$3:$BT$4,2,TRUE))*CP6</f>
        <v>#N/A</v>
      </c>
      <c r="DB6" s="325" t="e">
        <f>(HLOOKUP($AI6,'Inflation Adjustments'!$M$3:$BT$4,2,TRUE))*CQ6</f>
        <v>#N/A</v>
      </c>
      <c r="DC6" s="325" t="e">
        <f t="shared" ref="DC6:DC20" si="34">SUM(CS6:DB6)</f>
        <v>#N/A</v>
      </c>
      <c r="DD6" s="326">
        <f t="shared" si="15"/>
        <v>2022</v>
      </c>
      <c r="DE6" s="323" t="e">
        <f t="shared" si="16"/>
        <v>#N/A</v>
      </c>
      <c r="DF6" s="323" t="e">
        <f t="shared" si="17"/>
        <v>#N/A</v>
      </c>
      <c r="DG6" s="323" t="e">
        <f t="shared" si="18"/>
        <v>#N/A</v>
      </c>
      <c r="DH6" s="323" t="e">
        <f t="shared" si="19"/>
        <v>#N/A</v>
      </c>
      <c r="DI6" s="323" t="e">
        <f t="shared" si="20"/>
        <v>#N/A</v>
      </c>
      <c r="DJ6" s="323" t="e">
        <f t="shared" si="21"/>
        <v>#N/A</v>
      </c>
      <c r="DK6" s="323" t="e">
        <f t="shared" si="22"/>
        <v>#N/A</v>
      </c>
      <c r="DL6" s="323" t="e">
        <f t="shared" si="22"/>
        <v>#N/A</v>
      </c>
      <c r="DM6" s="323" t="e">
        <f t="shared" si="23"/>
        <v>#N/A</v>
      </c>
      <c r="DN6" s="323" t="e">
        <f t="shared" si="24"/>
        <v>#N/A</v>
      </c>
      <c r="DO6" s="327" t="e">
        <f t="shared" si="25"/>
        <v>#N/A</v>
      </c>
      <c r="DP6" s="327" t="e">
        <f t="shared" si="25"/>
        <v>#N/A</v>
      </c>
      <c r="DQ6" s="327" t="e">
        <f t="shared" si="25"/>
        <v>#N/A</v>
      </c>
      <c r="DR6" s="327" t="e">
        <f t="shared" si="25"/>
        <v>#N/A</v>
      </c>
      <c r="DS6" s="327" t="e">
        <f t="shared" si="25"/>
        <v>#N/A</v>
      </c>
      <c r="DT6" s="327" t="e">
        <f t="shared" si="25"/>
        <v>#N/A</v>
      </c>
      <c r="DU6" s="327" t="e">
        <f t="shared" si="25"/>
        <v>#N/A</v>
      </c>
      <c r="DV6" s="327" t="e">
        <f t="shared" si="25"/>
        <v>#N/A</v>
      </c>
      <c r="DW6" s="327" t="e">
        <f t="shared" si="25"/>
        <v>#N/A</v>
      </c>
      <c r="DX6" s="327" t="e">
        <f t="shared" si="25"/>
        <v>#N/A</v>
      </c>
      <c r="DY6" s="327" t="e">
        <f t="shared" ref="DY6:DY20" si="35">SUM(DO6:DX6)</f>
        <v>#N/A</v>
      </c>
      <c r="DZ6" s="323" t="e">
        <f t="shared" si="26"/>
        <v>#N/A</v>
      </c>
      <c r="EA6" s="323" t="e">
        <f t="shared" si="26"/>
        <v>#N/A</v>
      </c>
      <c r="EB6" s="323" t="e">
        <f t="shared" si="26"/>
        <v>#N/A</v>
      </c>
      <c r="EC6" s="323" t="e">
        <f t="shared" si="26"/>
        <v>#N/A</v>
      </c>
      <c r="ED6" s="323" t="e">
        <f t="shared" si="26"/>
        <v>#N/A</v>
      </c>
      <c r="EE6" s="323" t="e">
        <f t="shared" si="26"/>
        <v>#N/A</v>
      </c>
      <c r="EF6" s="323" t="e">
        <f t="shared" si="26"/>
        <v>#N/A</v>
      </c>
      <c r="EG6" s="323" t="e">
        <f t="shared" si="26"/>
        <v>#N/A</v>
      </c>
      <c r="EH6" s="323" t="e">
        <f t="shared" si="26"/>
        <v>#N/A</v>
      </c>
      <c r="EI6" s="323" t="e">
        <f t="shared" si="26"/>
        <v>#N/A</v>
      </c>
      <c r="EJ6" s="324" t="e">
        <f t="shared" ref="EJ6:EJ20" si="36">SUM(DZ6:EI6)</f>
        <v>#N/A</v>
      </c>
      <c r="EK6" s="327" t="e">
        <f t="shared" si="27"/>
        <v>#N/A</v>
      </c>
      <c r="EL6" s="327" t="e">
        <f t="shared" si="27"/>
        <v>#N/A</v>
      </c>
      <c r="EM6" s="327" t="e">
        <f t="shared" si="27"/>
        <v>#N/A</v>
      </c>
      <c r="EN6" s="327" t="e">
        <f t="shared" si="27"/>
        <v>#N/A</v>
      </c>
      <c r="EO6" s="327" t="e">
        <f t="shared" si="27"/>
        <v>#N/A</v>
      </c>
      <c r="EP6" s="327" t="e">
        <f t="shared" si="27"/>
        <v>#N/A</v>
      </c>
      <c r="EQ6" s="327" t="e">
        <f t="shared" si="27"/>
        <v>#N/A</v>
      </c>
      <c r="ER6" s="327" t="e">
        <f t="shared" si="27"/>
        <v>#N/A</v>
      </c>
      <c r="ES6" s="327" t="e">
        <f t="shared" si="27"/>
        <v>#N/A</v>
      </c>
      <c r="ET6" s="327" t="e">
        <f t="shared" si="27"/>
        <v>#N/A</v>
      </c>
      <c r="EU6" s="325" t="e">
        <f t="shared" ref="EU6:EU20" si="37">SUM(EK6:ET6)</f>
        <v>#N/A</v>
      </c>
      <c r="EV6" s="328"/>
      <c r="EW6" s="336"/>
      <c r="EX6" s="336"/>
      <c r="EY6" s="336"/>
      <c r="EZ6" s="336"/>
      <c r="FA6" s="336"/>
      <c r="FB6" s="336"/>
    </row>
    <row r="7" spans="1:165" ht="61.5" customHeight="1" thickTop="1" thickBot="1" x14ac:dyDescent="0.35">
      <c r="A7" s="330"/>
      <c r="B7" s="318"/>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7"/>
      <c r="AN7" s="317"/>
      <c r="AO7" s="509" t="e">
        <f t="shared" si="28"/>
        <v>#N/A</v>
      </c>
      <c r="AP7" s="509" t="e">
        <f t="shared" si="29"/>
        <v>#N/A</v>
      </c>
      <c r="AQ7" s="509" t="e">
        <f t="shared" si="30"/>
        <v>#N/A</v>
      </c>
      <c r="AR7" s="509" t="e">
        <f t="shared" si="31"/>
        <v>#N/A</v>
      </c>
      <c r="AS7" s="510" t="e">
        <f>HLOOKUP($C$1,'Inflation Adjustments'!$BI$3:$BT$4,2)*CR7</f>
        <v>#N/A</v>
      </c>
      <c r="AT7" s="511">
        <f>IF(BU7="In Service",'Maintenace Cost Assumptions'!$B$3*AS7,0)</f>
        <v>0</v>
      </c>
      <c r="AU7" s="318"/>
      <c r="AV7" s="318"/>
      <c r="AW7" s="318"/>
      <c r="AX7" s="318"/>
      <c r="AY7" s="318"/>
      <c r="AZ7" s="318"/>
      <c r="BA7" s="318"/>
      <c r="BB7" s="318"/>
      <c r="BC7" s="318"/>
      <c r="BD7" s="318"/>
      <c r="BE7" s="318"/>
      <c r="BF7" s="318"/>
      <c r="BG7" s="319">
        <f>(AU7*'Condition rating weights'!H$8+AV7*'Condition rating weights'!I$8+AW7*'Condition rating weights'!J$8+AX7*'Condition rating weights'!K$8+AY7*'Condition rating weights'!L$8+AZ7*'Condition rating weights'!M$8+BA7*'Condition rating weights'!N$8+BB7*'Condition rating weights'!O$8+BC7*'Condition rating weights'!P$8+BD7*'Condition rating weights'!Q$8+BE7*'Condition rating weights'!R$8+BF7*'Condition rating weights'!S$8)/100</f>
        <v>0</v>
      </c>
      <c r="BH7" s="333"/>
      <c r="BI7" s="333"/>
      <c r="BJ7" s="333"/>
      <c r="BK7" s="333"/>
      <c r="BL7" s="333"/>
      <c r="BM7" s="333"/>
      <c r="BN7" s="333"/>
      <c r="BO7" s="333"/>
      <c r="BP7" s="333"/>
      <c r="BQ7" s="333"/>
      <c r="BR7" s="333"/>
      <c r="BS7" s="333"/>
      <c r="BT7" s="334"/>
      <c r="BU7" s="335"/>
      <c r="BV7" s="255"/>
      <c r="BY7" s="306" t="str">
        <f>'GRC and TUL Assumptions'!A7</f>
        <v>Roofing</v>
      </c>
      <c r="BZ7" s="305">
        <f>'GRC and TUL Assumptions'!C7</f>
        <v>100</v>
      </c>
      <c r="CA7" s="305">
        <f>'GRC and TUL Assumptions'!D7</f>
        <v>150</v>
      </c>
      <c r="CB7" s="305">
        <f>'GRC and TUL Assumptions'!E7</f>
        <v>300</v>
      </c>
      <c r="CC7" s="305">
        <v>0</v>
      </c>
      <c r="CD7" s="305">
        <f>'GRC and TUL Assumptions'!F7</f>
        <v>10</v>
      </c>
      <c r="CE7" s="305">
        <f>'GRC and TUL Assumptions'!G7</f>
        <v>20</v>
      </c>
      <c r="CF7" s="305">
        <f>'GRC and TUL Assumptions'!H7</f>
        <v>30</v>
      </c>
      <c r="CG7" s="305">
        <f t="shared" si="32"/>
        <v>10</v>
      </c>
      <c r="CH7" s="323" t="e">
        <f t="shared" si="5"/>
        <v>#N/A</v>
      </c>
      <c r="CI7" s="323" t="e">
        <f t="shared" si="6"/>
        <v>#N/A</v>
      </c>
      <c r="CJ7" s="323" t="e">
        <f t="shared" si="7"/>
        <v>#N/A</v>
      </c>
      <c r="CK7" s="323" t="e">
        <f t="shared" si="8"/>
        <v>#N/A</v>
      </c>
      <c r="CL7" s="323" t="e">
        <f t="shared" si="9"/>
        <v>#N/A</v>
      </c>
      <c r="CM7" s="323" t="e">
        <f t="shared" si="10"/>
        <v>#N/A</v>
      </c>
      <c r="CN7" s="323" t="e">
        <f t="shared" si="11"/>
        <v>#N/A</v>
      </c>
      <c r="CO7" s="323" t="e">
        <f t="shared" si="12"/>
        <v>#N/A</v>
      </c>
      <c r="CP7" s="323" t="e">
        <f t="shared" si="13"/>
        <v>#N/A</v>
      </c>
      <c r="CQ7" s="323" t="e">
        <f t="shared" si="14"/>
        <v>#N/A</v>
      </c>
      <c r="CR7" s="324" t="e">
        <f t="shared" si="33"/>
        <v>#N/A</v>
      </c>
      <c r="CS7" s="325" t="e">
        <f>(HLOOKUP($AI7,'Inflation Adjustments'!$B$3:$BT$4,2,TRUE))*CH7</f>
        <v>#N/A</v>
      </c>
      <c r="CT7" s="325" t="e">
        <f>(HLOOKUP($AI7,'Inflation Adjustments'!$B$3:$BT$4,2,TRUE))*CI7</f>
        <v>#N/A</v>
      </c>
      <c r="CU7" s="325" t="e">
        <f>(HLOOKUP($AI7,'Inflation Adjustments'!$B$3:$BT$4,2,TRUE))*CJ7</f>
        <v>#N/A</v>
      </c>
      <c r="CV7" s="325" t="e">
        <f>(HLOOKUP($AI7,'Inflation Adjustments'!$B$3:$BT$4,2,TRUE))*CK7</f>
        <v>#N/A</v>
      </c>
      <c r="CW7" s="325" t="e">
        <f>(HLOOKUP($AI7,'Inflation Adjustments'!$B$3:$BT$4,2,TRUE))*CL7</f>
        <v>#N/A</v>
      </c>
      <c r="CX7" s="325" t="e">
        <f>(HLOOKUP($AI7,'Inflation Adjustments'!$B$3:$BT$4,2,TRUE))*CM7</f>
        <v>#N/A</v>
      </c>
      <c r="CY7" s="325" t="e">
        <f>(HLOOKUP($AI7,'Inflation Adjustments'!$B$3:$BT$4,2,TRUE))*CN7</f>
        <v>#N/A</v>
      </c>
      <c r="CZ7" s="325" t="e">
        <f>(HLOOKUP($AI7,'Inflation Adjustments'!$B$3:$BT$4,2,TRUE))*CO7</f>
        <v>#N/A</v>
      </c>
      <c r="DA7" s="325" t="e">
        <f>(HLOOKUP($AI7,'Inflation Adjustments'!$B$3:$BT$4,2,TRUE))*CP7</f>
        <v>#N/A</v>
      </c>
      <c r="DB7" s="325" t="e">
        <f>(HLOOKUP($AI7,'Inflation Adjustments'!$B$3:$BT$4,2,TRUE))*CQ7</f>
        <v>#N/A</v>
      </c>
      <c r="DC7" s="325" t="e">
        <f t="shared" si="34"/>
        <v>#N/A</v>
      </c>
      <c r="DD7" s="326">
        <f t="shared" si="15"/>
        <v>2022</v>
      </c>
      <c r="DE7" s="323" t="e">
        <f t="shared" si="16"/>
        <v>#N/A</v>
      </c>
      <c r="DF7" s="323" t="e">
        <f t="shared" si="17"/>
        <v>#N/A</v>
      </c>
      <c r="DG7" s="323" t="e">
        <f t="shared" si="18"/>
        <v>#N/A</v>
      </c>
      <c r="DH7" s="323" t="e">
        <f t="shared" si="19"/>
        <v>#N/A</v>
      </c>
      <c r="DI7" s="323" t="e">
        <f t="shared" si="20"/>
        <v>#N/A</v>
      </c>
      <c r="DJ7" s="323" t="e">
        <f t="shared" si="21"/>
        <v>#N/A</v>
      </c>
      <c r="DK7" s="323" t="e">
        <f t="shared" si="22"/>
        <v>#N/A</v>
      </c>
      <c r="DL7" s="323" t="e">
        <f t="shared" si="22"/>
        <v>#N/A</v>
      </c>
      <c r="DM7" s="323" t="e">
        <f t="shared" si="23"/>
        <v>#N/A</v>
      </c>
      <c r="DN7" s="323" t="e">
        <f t="shared" si="24"/>
        <v>#N/A</v>
      </c>
      <c r="DO7" s="327" t="e">
        <f t="shared" si="25"/>
        <v>#N/A</v>
      </c>
      <c r="DP7" s="327" t="e">
        <f t="shared" si="25"/>
        <v>#N/A</v>
      </c>
      <c r="DQ7" s="327" t="e">
        <f t="shared" si="25"/>
        <v>#N/A</v>
      </c>
      <c r="DR7" s="327" t="e">
        <f t="shared" si="25"/>
        <v>#N/A</v>
      </c>
      <c r="DS7" s="327" t="e">
        <f t="shared" si="25"/>
        <v>#N/A</v>
      </c>
      <c r="DT7" s="327" t="e">
        <f t="shared" si="25"/>
        <v>#N/A</v>
      </c>
      <c r="DU7" s="327" t="e">
        <f t="shared" si="25"/>
        <v>#N/A</v>
      </c>
      <c r="DV7" s="327" t="e">
        <f t="shared" si="25"/>
        <v>#N/A</v>
      </c>
      <c r="DW7" s="327" t="e">
        <f t="shared" si="25"/>
        <v>#N/A</v>
      </c>
      <c r="DX7" s="327" t="e">
        <f t="shared" si="25"/>
        <v>#N/A</v>
      </c>
      <c r="DY7" s="327" t="e">
        <f t="shared" si="35"/>
        <v>#N/A</v>
      </c>
      <c r="DZ7" s="323" t="e">
        <f t="shared" si="26"/>
        <v>#N/A</v>
      </c>
      <c r="EA7" s="323" t="e">
        <f t="shared" si="26"/>
        <v>#N/A</v>
      </c>
      <c r="EB7" s="323" t="e">
        <f t="shared" si="26"/>
        <v>#N/A</v>
      </c>
      <c r="EC7" s="323" t="e">
        <f t="shared" si="26"/>
        <v>#N/A</v>
      </c>
      <c r="ED7" s="323" t="e">
        <f t="shared" si="26"/>
        <v>#N/A</v>
      </c>
      <c r="EE7" s="323" t="e">
        <f t="shared" si="26"/>
        <v>#N/A</v>
      </c>
      <c r="EF7" s="323" t="e">
        <f t="shared" si="26"/>
        <v>#N/A</v>
      </c>
      <c r="EG7" s="323" t="e">
        <f t="shared" si="26"/>
        <v>#N/A</v>
      </c>
      <c r="EH7" s="323" t="e">
        <f t="shared" si="26"/>
        <v>#N/A</v>
      </c>
      <c r="EI7" s="323" t="e">
        <f t="shared" si="26"/>
        <v>#N/A</v>
      </c>
      <c r="EJ7" s="324" t="e">
        <f t="shared" si="36"/>
        <v>#N/A</v>
      </c>
      <c r="EK7" s="327" t="e">
        <f t="shared" si="27"/>
        <v>#N/A</v>
      </c>
      <c r="EL7" s="327" t="e">
        <f t="shared" si="27"/>
        <v>#N/A</v>
      </c>
      <c r="EM7" s="327" t="e">
        <f t="shared" si="27"/>
        <v>#N/A</v>
      </c>
      <c r="EN7" s="327" t="e">
        <f t="shared" si="27"/>
        <v>#N/A</v>
      </c>
      <c r="EO7" s="327" t="e">
        <f t="shared" si="27"/>
        <v>#N/A</v>
      </c>
      <c r="EP7" s="327" t="e">
        <f t="shared" si="27"/>
        <v>#N/A</v>
      </c>
      <c r="EQ7" s="327" t="e">
        <f t="shared" si="27"/>
        <v>#N/A</v>
      </c>
      <c r="ER7" s="327" t="e">
        <f t="shared" si="27"/>
        <v>#N/A</v>
      </c>
      <c r="ES7" s="327" t="e">
        <f t="shared" si="27"/>
        <v>#N/A</v>
      </c>
      <c r="ET7" s="327" t="e">
        <f t="shared" si="27"/>
        <v>#N/A</v>
      </c>
      <c r="EU7" s="325" t="e">
        <f t="shared" si="37"/>
        <v>#N/A</v>
      </c>
      <c r="EV7" s="328">
        <f>AK7</f>
        <v>0</v>
      </c>
      <c r="EW7" s="324">
        <v>0</v>
      </c>
      <c r="EX7" s="323">
        <v>20</v>
      </c>
      <c r="EY7" s="328"/>
      <c r="EZ7" s="323">
        <f>EW7/EX7</f>
        <v>0</v>
      </c>
      <c r="FA7" s="323">
        <f>IF(EY7*EZ7&lt;EW7,EY7*EZ7,EW7)</f>
        <v>0</v>
      </c>
      <c r="FB7" s="323">
        <f>IF(EZ7&lt;(EW7-FA7),EZ7,(E48-FA7))</f>
        <v>0</v>
      </c>
    </row>
    <row r="8" spans="1:165" ht="61.5" customHeight="1" thickTop="1" thickBot="1" x14ac:dyDescent="0.35">
      <c r="A8" s="330"/>
      <c r="B8" s="318"/>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317"/>
      <c r="AN8" s="317"/>
      <c r="AO8" s="509" t="e">
        <f t="shared" si="28"/>
        <v>#N/A</v>
      </c>
      <c r="AP8" s="509" t="e">
        <f t="shared" si="29"/>
        <v>#N/A</v>
      </c>
      <c r="AQ8" s="509" t="e">
        <f t="shared" si="30"/>
        <v>#N/A</v>
      </c>
      <c r="AR8" s="509" t="e">
        <f t="shared" si="31"/>
        <v>#N/A</v>
      </c>
      <c r="AS8" s="510" t="e">
        <f>HLOOKUP($C$1,'Inflation Adjustments'!$BI$3:$BT$4,2)*CR8</f>
        <v>#N/A</v>
      </c>
      <c r="AT8" s="511">
        <f>IF(BU8="In Service",'Maintenace Cost Assumptions'!$B$3*AS8,0)</f>
        <v>0</v>
      </c>
      <c r="AU8" s="318"/>
      <c r="AV8" s="318"/>
      <c r="AW8" s="318"/>
      <c r="AX8" s="318"/>
      <c r="AY8" s="318"/>
      <c r="AZ8" s="318"/>
      <c r="BA8" s="318"/>
      <c r="BB8" s="318"/>
      <c r="BC8" s="318"/>
      <c r="BD8" s="318"/>
      <c r="BE8" s="318"/>
      <c r="BF8" s="318"/>
      <c r="BG8" s="319">
        <f>(AU8*'Condition rating weights'!H$8+AV8*'Condition rating weights'!I$8+AW8*'Condition rating weights'!J$8+AX8*'Condition rating weights'!K$8+AY8*'Condition rating weights'!L$8+AZ8*'Condition rating weights'!M$8+BA8*'Condition rating weights'!N$8+BB8*'Condition rating weights'!O$8+BC8*'Condition rating weights'!P$8+BD8*'Condition rating weights'!Q$8+BE8*'Condition rating weights'!R$8+BF8*'Condition rating weights'!S$8)/100</f>
        <v>0</v>
      </c>
      <c r="BH8" s="333"/>
      <c r="BI8" s="333"/>
      <c r="BJ8" s="333"/>
      <c r="BK8" s="333"/>
      <c r="BL8" s="333"/>
      <c r="BM8" s="333"/>
      <c r="BN8" s="333"/>
      <c r="BO8" s="333"/>
      <c r="BP8" s="333"/>
      <c r="BQ8" s="333"/>
      <c r="BR8" s="333"/>
      <c r="BS8" s="333"/>
      <c r="BT8" s="334"/>
      <c r="BU8" s="335"/>
      <c r="BV8" s="255"/>
      <c r="BY8" s="306" t="str">
        <f>'GRC and TUL Assumptions'!A8</f>
        <v>Exterior Wall Cladding</v>
      </c>
      <c r="BZ8" s="305">
        <f>'GRC and TUL Assumptions'!C8</f>
        <v>150</v>
      </c>
      <c r="CA8" s="305">
        <f>'GRC and TUL Assumptions'!D8</f>
        <v>230</v>
      </c>
      <c r="CB8" s="305">
        <f>'GRC and TUL Assumptions'!E8</f>
        <v>300</v>
      </c>
      <c r="CC8" s="305">
        <v>0</v>
      </c>
      <c r="CD8" s="305">
        <f>'GRC and TUL Assumptions'!F8</f>
        <v>20</v>
      </c>
      <c r="CE8" s="305">
        <f>'GRC and TUL Assumptions'!G8</f>
        <v>30</v>
      </c>
      <c r="CF8" s="305">
        <f>'GRC and TUL Assumptions'!H8</f>
        <v>40</v>
      </c>
      <c r="CG8" s="305">
        <f t="shared" si="32"/>
        <v>20</v>
      </c>
      <c r="CH8" s="323" t="e">
        <f t="shared" si="5"/>
        <v>#N/A</v>
      </c>
      <c r="CI8" s="323" t="e">
        <f t="shared" si="6"/>
        <v>#N/A</v>
      </c>
      <c r="CJ8" s="323" t="e">
        <f t="shared" si="7"/>
        <v>#N/A</v>
      </c>
      <c r="CK8" s="323" t="e">
        <f t="shared" si="8"/>
        <v>#N/A</v>
      </c>
      <c r="CL8" s="323" t="e">
        <f t="shared" si="9"/>
        <v>#N/A</v>
      </c>
      <c r="CM8" s="323" t="e">
        <f t="shared" si="10"/>
        <v>#N/A</v>
      </c>
      <c r="CN8" s="323" t="e">
        <f t="shared" si="11"/>
        <v>#N/A</v>
      </c>
      <c r="CO8" s="323" t="e">
        <f t="shared" si="12"/>
        <v>#N/A</v>
      </c>
      <c r="CP8" s="323" t="e">
        <f t="shared" si="13"/>
        <v>#N/A</v>
      </c>
      <c r="CQ8" s="323" t="e">
        <f t="shared" si="14"/>
        <v>#N/A</v>
      </c>
      <c r="CR8" s="324" t="e">
        <f t="shared" si="33"/>
        <v>#N/A</v>
      </c>
      <c r="CS8" s="325" t="e">
        <f>(HLOOKUP($AI8,'Inflation Adjustments'!$B$3:$BT$4,2,TRUE))*CH8</f>
        <v>#N/A</v>
      </c>
      <c r="CT8" s="325" t="e">
        <f>(HLOOKUP($AI8,'Inflation Adjustments'!$B$3:$BT$4,2,TRUE))*CI8</f>
        <v>#N/A</v>
      </c>
      <c r="CU8" s="325" t="e">
        <f>(HLOOKUP($AI8,'Inflation Adjustments'!$B$3:$BT$4,2,TRUE))*CJ8</f>
        <v>#N/A</v>
      </c>
      <c r="CV8" s="325" t="e">
        <f>(HLOOKUP($AI8,'Inflation Adjustments'!$B$3:$BT$4,2,TRUE))*CK8</f>
        <v>#N/A</v>
      </c>
      <c r="CW8" s="325" t="e">
        <f>(HLOOKUP($AI8,'Inflation Adjustments'!$B$3:$BT$4,2,TRUE))*CL8</f>
        <v>#N/A</v>
      </c>
      <c r="CX8" s="325" t="e">
        <f>(HLOOKUP($AI8,'Inflation Adjustments'!$B$3:$BT$4,2,TRUE))*CM8</f>
        <v>#N/A</v>
      </c>
      <c r="CY8" s="325" t="e">
        <f>(HLOOKUP($AI8,'Inflation Adjustments'!$B$3:$BT$4,2,TRUE))*CN8</f>
        <v>#N/A</v>
      </c>
      <c r="CZ8" s="325" t="e">
        <f>(HLOOKUP($AI8,'Inflation Adjustments'!$B$3:$BT$4,2,TRUE))*CO8</f>
        <v>#N/A</v>
      </c>
      <c r="DA8" s="325" t="e">
        <f>(HLOOKUP($AI8,'Inflation Adjustments'!$B$3:$BT$4,2,TRUE))*CP8</f>
        <v>#N/A</v>
      </c>
      <c r="DB8" s="325" t="e">
        <f>(HLOOKUP($AI8,'Inflation Adjustments'!$B$3:$BT$4,2,TRUE))*CQ8</f>
        <v>#N/A</v>
      </c>
      <c r="DC8" s="325" t="e">
        <f t="shared" si="34"/>
        <v>#N/A</v>
      </c>
      <c r="DD8" s="326">
        <f t="shared" si="15"/>
        <v>2022</v>
      </c>
      <c r="DE8" s="323" t="e">
        <f t="shared" si="16"/>
        <v>#N/A</v>
      </c>
      <c r="DF8" s="323" t="e">
        <f t="shared" si="17"/>
        <v>#N/A</v>
      </c>
      <c r="DG8" s="323" t="e">
        <f t="shared" si="18"/>
        <v>#N/A</v>
      </c>
      <c r="DH8" s="323" t="e">
        <f t="shared" si="19"/>
        <v>#N/A</v>
      </c>
      <c r="DI8" s="323" t="e">
        <f t="shared" si="20"/>
        <v>#N/A</v>
      </c>
      <c r="DJ8" s="323" t="e">
        <f t="shared" si="21"/>
        <v>#N/A</v>
      </c>
      <c r="DK8" s="323" t="e">
        <f t="shared" si="22"/>
        <v>#N/A</v>
      </c>
      <c r="DL8" s="323" t="e">
        <f t="shared" si="22"/>
        <v>#N/A</v>
      </c>
      <c r="DM8" s="323" t="e">
        <f t="shared" si="23"/>
        <v>#N/A</v>
      </c>
      <c r="DN8" s="323" t="e">
        <f t="shared" si="24"/>
        <v>#N/A</v>
      </c>
      <c r="DO8" s="327" t="e">
        <f t="shared" si="25"/>
        <v>#N/A</v>
      </c>
      <c r="DP8" s="327" t="e">
        <f t="shared" si="25"/>
        <v>#N/A</v>
      </c>
      <c r="DQ8" s="327" t="e">
        <f t="shared" si="25"/>
        <v>#N/A</v>
      </c>
      <c r="DR8" s="327" t="e">
        <f t="shared" si="25"/>
        <v>#N/A</v>
      </c>
      <c r="DS8" s="327" t="e">
        <f t="shared" si="25"/>
        <v>#N/A</v>
      </c>
      <c r="DT8" s="327" t="e">
        <f t="shared" si="25"/>
        <v>#N/A</v>
      </c>
      <c r="DU8" s="327" t="e">
        <f t="shared" si="25"/>
        <v>#N/A</v>
      </c>
      <c r="DV8" s="327" t="e">
        <f t="shared" si="25"/>
        <v>#N/A</v>
      </c>
      <c r="DW8" s="327" t="e">
        <f t="shared" si="25"/>
        <v>#N/A</v>
      </c>
      <c r="DX8" s="327" t="e">
        <f t="shared" si="25"/>
        <v>#N/A</v>
      </c>
      <c r="DY8" s="327" t="e">
        <f t="shared" si="35"/>
        <v>#N/A</v>
      </c>
      <c r="DZ8" s="323" t="e">
        <f t="shared" si="26"/>
        <v>#N/A</v>
      </c>
      <c r="EA8" s="323" t="e">
        <f t="shared" si="26"/>
        <v>#N/A</v>
      </c>
      <c r="EB8" s="323" t="e">
        <f t="shared" si="26"/>
        <v>#N/A</v>
      </c>
      <c r="EC8" s="323" t="e">
        <f t="shared" si="26"/>
        <v>#N/A</v>
      </c>
      <c r="ED8" s="323" t="e">
        <f t="shared" si="26"/>
        <v>#N/A</v>
      </c>
      <c r="EE8" s="323" t="e">
        <f t="shared" si="26"/>
        <v>#N/A</v>
      </c>
      <c r="EF8" s="323" t="e">
        <f t="shared" si="26"/>
        <v>#N/A</v>
      </c>
      <c r="EG8" s="323" t="e">
        <f t="shared" si="26"/>
        <v>#N/A</v>
      </c>
      <c r="EH8" s="323" t="e">
        <f t="shared" si="26"/>
        <v>#N/A</v>
      </c>
      <c r="EI8" s="323" t="e">
        <f t="shared" si="26"/>
        <v>#N/A</v>
      </c>
      <c r="EJ8" s="324" t="e">
        <f t="shared" si="36"/>
        <v>#N/A</v>
      </c>
      <c r="EK8" s="327" t="e">
        <f t="shared" si="27"/>
        <v>#N/A</v>
      </c>
      <c r="EL8" s="327" t="e">
        <f t="shared" si="27"/>
        <v>#N/A</v>
      </c>
      <c r="EM8" s="327" t="e">
        <f t="shared" si="27"/>
        <v>#N/A</v>
      </c>
      <c r="EN8" s="327" t="e">
        <f t="shared" si="27"/>
        <v>#N/A</v>
      </c>
      <c r="EO8" s="327" t="e">
        <f t="shared" si="27"/>
        <v>#N/A</v>
      </c>
      <c r="EP8" s="327" t="e">
        <f t="shared" si="27"/>
        <v>#N/A</v>
      </c>
      <c r="EQ8" s="327" t="e">
        <f t="shared" si="27"/>
        <v>#N/A</v>
      </c>
      <c r="ER8" s="327" t="e">
        <f t="shared" si="27"/>
        <v>#N/A</v>
      </c>
      <c r="ES8" s="327" t="e">
        <f t="shared" si="27"/>
        <v>#N/A</v>
      </c>
      <c r="ET8" s="327" t="e">
        <f t="shared" si="27"/>
        <v>#N/A</v>
      </c>
      <c r="EU8" s="325" t="e">
        <f t="shared" si="37"/>
        <v>#N/A</v>
      </c>
      <c r="EV8" s="328"/>
      <c r="EW8" s="336"/>
      <c r="EX8" s="336"/>
      <c r="EY8" s="336"/>
      <c r="EZ8" s="336"/>
      <c r="FA8" s="336"/>
      <c r="FB8" s="336"/>
    </row>
    <row r="9" spans="1:165" ht="56" customHeight="1" thickTop="1" thickBot="1" x14ac:dyDescent="0.35">
      <c r="A9" s="330"/>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7"/>
      <c r="AN9" s="317"/>
      <c r="AO9" s="509" t="e">
        <f t="shared" si="28"/>
        <v>#N/A</v>
      </c>
      <c r="AP9" s="509" t="e">
        <f t="shared" si="29"/>
        <v>#N/A</v>
      </c>
      <c r="AQ9" s="509" t="e">
        <f t="shared" si="30"/>
        <v>#N/A</v>
      </c>
      <c r="AR9" s="509" t="e">
        <f t="shared" si="31"/>
        <v>#N/A</v>
      </c>
      <c r="AS9" s="510" t="e">
        <f>HLOOKUP($C$1,'Inflation Adjustments'!$BI$3:$BT$4,2)*CR9</f>
        <v>#N/A</v>
      </c>
      <c r="AT9" s="511">
        <f>IF(BU9="In Service",'Maintenace Cost Assumptions'!$B$3*AS9,0)</f>
        <v>0</v>
      </c>
      <c r="AU9" s="318"/>
      <c r="AV9" s="318"/>
      <c r="AW9" s="318"/>
      <c r="AX9" s="318"/>
      <c r="AY9" s="318"/>
      <c r="AZ9" s="318"/>
      <c r="BA9" s="318"/>
      <c r="BB9" s="318"/>
      <c r="BC9" s="318"/>
      <c r="BD9" s="318"/>
      <c r="BE9" s="318"/>
      <c r="BF9" s="318"/>
      <c r="BG9" s="319">
        <f>(AU9*'Condition rating weights'!H$8+AV9*'Condition rating weights'!I$8+AW9*'Condition rating weights'!J$8+AX9*'Condition rating weights'!K$8+AY9*'Condition rating weights'!L$8+AZ9*'Condition rating weights'!M$8+BA9*'Condition rating weights'!N$8+BB9*'Condition rating weights'!O$8+BC9*'Condition rating weights'!P$8+BD9*'Condition rating weights'!Q$8+BE9*'Condition rating weights'!R$8+BF9*'Condition rating weights'!S$8)/100</f>
        <v>0</v>
      </c>
      <c r="BH9" s="333"/>
      <c r="BI9" s="333"/>
      <c r="BJ9" s="333"/>
      <c r="BK9" s="333"/>
      <c r="BL9" s="333"/>
      <c r="BM9" s="333"/>
      <c r="BN9" s="333"/>
      <c r="BO9" s="333"/>
      <c r="BP9" s="333"/>
      <c r="BQ9" s="333"/>
      <c r="BR9" s="333"/>
      <c r="BS9" s="333"/>
      <c r="BT9" s="334"/>
      <c r="BU9" s="335"/>
      <c r="BV9" s="255"/>
      <c r="BY9" s="306" t="str">
        <f>'GRC and TUL Assumptions'!A9</f>
        <v>Fitouts</v>
      </c>
      <c r="BZ9" s="305">
        <f>'GRC and TUL Assumptions'!C9</f>
        <v>250</v>
      </c>
      <c r="CA9" s="305">
        <f>'GRC and TUL Assumptions'!D9</f>
        <v>350</v>
      </c>
      <c r="CB9" s="305">
        <f>'GRC and TUL Assumptions'!E9</f>
        <v>500</v>
      </c>
      <c r="CC9" s="305">
        <v>0</v>
      </c>
      <c r="CD9" s="305">
        <f>'GRC and TUL Assumptions'!F9</f>
        <v>40</v>
      </c>
      <c r="CE9" s="305">
        <f>'GRC and TUL Assumptions'!G9</f>
        <v>60</v>
      </c>
      <c r="CF9" s="305">
        <f>'GRC and TUL Assumptions'!H9</f>
        <v>60</v>
      </c>
      <c r="CG9" s="305">
        <f t="shared" si="32"/>
        <v>40</v>
      </c>
      <c r="CH9" s="323" t="e">
        <f t="shared" si="5"/>
        <v>#N/A</v>
      </c>
      <c r="CI9" s="323" t="e">
        <f t="shared" si="6"/>
        <v>#N/A</v>
      </c>
      <c r="CJ9" s="323" t="e">
        <f t="shared" si="7"/>
        <v>#N/A</v>
      </c>
      <c r="CK9" s="323" t="e">
        <f t="shared" si="8"/>
        <v>#N/A</v>
      </c>
      <c r="CL9" s="323" t="e">
        <f t="shared" si="9"/>
        <v>#N/A</v>
      </c>
      <c r="CM9" s="323" t="e">
        <f t="shared" si="10"/>
        <v>#N/A</v>
      </c>
      <c r="CN9" s="323" t="e">
        <f t="shared" si="11"/>
        <v>#N/A</v>
      </c>
      <c r="CO9" s="323" t="e">
        <f t="shared" si="12"/>
        <v>#N/A</v>
      </c>
      <c r="CP9" s="323" t="e">
        <f t="shared" si="13"/>
        <v>#N/A</v>
      </c>
      <c r="CQ9" s="323" t="e">
        <f t="shared" si="14"/>
        <v>#N/A</v>
      </c>
      <c r="CR9" s="324" t="e">
        <f t="shared" si="33"/>
        <v>#N/A</v>
      </c>
      <c r="CS9" s="325" t="e">
        <f>(HLOOKUP($AI9,'Inflation Adjustments'!$B$3:$BT$4,2,TRUE))*CH9</f>
        <v>#N/A</v>
      </c>
      <c r="CT9" s="325" t="e">
        <f>(HLOOKUP($AI9,'Inflation Adjustments'!$B$3:$BT$4,2,TRUE))*CI9</f>
        <v>#N/A</v>
      </c>
      <c r="CU9" s="325" t="e">
        <f>(HLOOKUP($AI9,'Inflation Adjustments'!$B$3:$BT$4,2,TRUE))*CJ9</f>
        <v>#N/A</v>
      </c>
      <c r="CV9" s="325" t="e">
        <f>(HLOOKUP($AI9,'Inflation Adjustments'!$B$3:$BT$4,2,TRUE))*CK9</f>
        <v>#N/A</v>
      </c>
      <c r="CW9" s="325" t="e">
        <f>(HLOOKUP($AI9,'Inflation Adjustments'!$B$3:$BT$4,2,TRUE))*CL9</f>
        <v>#N/A</v>
      </c>
      <c r="CX9" s="325" t="e">
        <f>(HLOOKUP($AI9,'Inflation Adjustments'!$B$3:$BT$4,2,TRUE))*CM9</f>
        <v>#N/A</v>
      </c>
      <c r="CY9" s="325" t="e">
        <f>(HLOOKUP($AI9,'Inflation Adjustments'!$B$3:$BT$4,2,TRUE))*CN9</f>
        <v>#N/A</v>
      </c>
      <c r="CZ9" s="325" t="e">
        <f>(HLOOKUP($AI9,'Inflation Adjustments'!$B$3:$BT$4,2,TRUE))*CO9</f>
        <v>#N/A</v>
      </c>
      <c r="DA9" s="325" t="e">
        <f>(HLOOKUP($AI9,'Inflation Adjustments'!$B$3:$BT$4,2,TRUE))*CP9</f>
        <v>#N/A</v>
      </c>
      <c r="DB9" s="325" t="e">
        <f>(HLOOKUP($AI9,'Inflation Adjustments'!$B$3:$BT$4,2,TRUE))*CQ9</f>
        <v>#N/A</v>
      </c>
      <c r="DC9" s="325" t="e">
        <f t="shared" si="34"/>
        <v>#N/A</v>
      </c>
      <c r="DD9" s="326">
        <f t="shared" si="15"/>
        <v>2022</v>
      </c>
      <c r="DE9" s="323" t="e">
        <f t="shared" si="16"/>
        <v>#N/A</v>
      </c>
      <c r="DF9" s="323" t="e">
        <f t="shared" si="17"/>
        <v>#N/A</v>
      </c>
      <c r="DG9" s="323" t="e">
        <f t="shared" si="18"/>
        <v>#N/A</v>
      </c>
      <c r="DH9" s="323" t="e">
        <f t="shared" si="19"/>
        <v>#N/A</v>
      </c>
      <c r="DI9" s="323" t="e">
        <f t="shared" si="20"/>
        <v>#N/A</v>
      </c>
      <c r="DJ9" s="323" t="e">
        <f t="shared" si="21"/>
        <v>#N/A</v>
      </c>
      <c r="DK9" s="323" t="e">
        <f t="shared" si="22"/>
        <v>#N/A</v>
      </c>
      <c r="DL9" s="323" t="e">
        <f t="shared" si="22"/>
        <v>#N/A</v>
      </c>
      <c r="DM9" s="323" t="e">
        <f t="shared" si="23"/>
        <v>#N/A</v>
      </c>
      <c r="DN9" s="323" t="e">
        <f t="shared" si="24"/>
        <v>#N/A</v>
      </c>
      <c r="DO9" s="327" t="e">
        <f t="shared" si="25"/>
        <v>#N/A</v>
      </c>
      <c r="DP9" s="327" t="e">
        <f t="shared" si="25"/>
        <v>#N/A</v>
      </c>
      <c r="DQ9" s="327" t="e">
        <f t="shared" si="25"/>
        <v>#N/A</v>
      </c>
      <c r="DR9" s="327" t="e">
        <f t="shared" si="25"/>
        <v>#N/A</v>
      </c>
      <c r="DS9" s="327" t="e">
        <f t="shared" si="25"/>
        <v>#N/A</v>
      </c>
      <c r="DT9" s="327" t="e">
        <f t="shared" si="25"/>
        <v>#N/A</v>
      </c>
      <c r="DU9" s="327" t="e">
        <f t="shared" si="25"/>
        <v>#N/A</v>
      </c>
      <c r="DV9" s="327" t="e">
        <f t="shared" si="25"/>
        <v>#N/A</v>
      </c>
      <c r="DW9" s="327" t="e">
        <f t="shared" si="25"/>
        <v>#N/A</v>
      </c>
      <c r="DX9" s="327" t="e">
        <f t="shared" si="25"/>
        <v>#N/A</v>
      </c>
      <c r="DY9" s="327" t="e">
        <f t="shared" si="35"/>
        <v>#N/A</v>
      </c>
      <c r="DZ9" s="323" t="e">
        <f t="shared" si="26"/>
        <v>#N/A</v>
      </c>
      <c r="EA9" s="323" t="e">
        <f t="shared" si="26"/>
        <v>#N/A</v>
      </c>
      <c r="EB9" s="323" t="e">
        <f t="shared" si="26"/>
        <v>#N/A</v>
      </c>
      <c r="EC9" s="323" t="e">
        <f t="shared" si="26"/>
        <v>#N/A</v>
      </c>
      <c r="ED9" s="323" t="e">
        <f t="shared" si="26"/>
        <v>#N/A</v>
      </c>
      <c r="EE9" s="323" t="e">
        <f t="shared" si="26"/>
        <v>#N/A</v>
      </c>
      <c r="EF9" s="323" t="e">
        <f t="shared" si="26"/>
        <v>#N/A</v>
      </c>
      <c r="EG9" s="323" t="e">
        <f t="shared" si="26"/>
        <v>#N/A</v>
      </c>
      <c r="EH9" s="323" t="e">
        <f t="shared" si="26"/>
        <v>#N/A</v>
      </c>
      <c r="EI9" s="323" t="e">
        <f t="shared" si="26"/>
        <v>#N/A</v>
      </c>
      <c r="EJ9" s="324" t="e">
        <f t="shared" si="36"/>
        <v>#N/A</v>
      </c>
      <c r="EK9" s="327" t="e">
        <f t="shared" si="27"/>
        <v>#N/A</v>
      </c>
      <c r="EL9" s="327" t="e">
        <f t="shared" si="27"/>
        <v>#N/A</v>
      </c>
      <c r="EM9" s="327" t="e">
        <f t="shared" si="27"/>
        <v>#N/A</v>
      </c>
      <c r="EN9" s="327" t="e">
        <f t="shared" si="27"/>
        <v>#N/A</v>
      </c>
      <c r="EO9" s="327" t="e">
        <f t="shared" si="27"/>
        <v>#N/A</v>
      </c>
      <c r="EP9" s="327" t="e">
        <f t="shared" si="27"/>
        <v>#N/A</v>
      </c>
      <c r="EQ9" s="327" t="e">
        <f t="shared" si="27"/>
        <v>#N/A</v>
      </c>
      <c r="ER9" s="327" t="e">
        <f t="shared" si="27"/>
        <v>#N/A</v>
      </c>
      <c r="ES9" s="327" t="e">
        <f t="shared" si="27"/>
        <v>#N/A</v>
      </c>
      <c r="ET9" s="327" t="e">
        <f t="shared" si="27"/>
        <v>#N/A</v>
      </c>
      <c r="EU9" s="325" t="e">
        <f t="shared" si="37"/>
        <v>#N/A</v>
      </c>
      <c r="EV9" s="336"/>
      <c r="EW9" s="336"/>
      <c r="EX9" s="336"/>
      <c r="EY9" s="336"/>
      <c r="EZ9" s="336"/>
      <c r="FA9" s="336"/>
      <c r="FB9" s="336"/>
    </row>
    <row r="10" spans="1:165" ht="56" customHeight="1" thickTop="1" x14ac:dyDescent="0.3">
      <c r="A10" s="330"/>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7"/>
      <c r="AN10" s="317"/>
      <c r="AO10" s="509" t="e">
        <f t="shared" si="28"/>
        <v>#N/A</v>
      </c>
      <c r="AP10" s="509" t="e">
        <f t="shared" si="29"/>
        <v>#N/A</v>
      </c>
      <c r="AQ10" s="509" t="e">
        <f t="shared" si="30"/>
        <v>#N/A</v>
      </c>
      <c r="AR10" s="509" t="e">
        <f t="shared" si="31"/>
        <v>#N/A</v>
      </c>
      <c r="AS10" s="510" t="e">
        <f>HLOOKUP($C$1,'Inflation Adjustments'!$BI$3:$BT$4,2)*CR10</f>
        <v>#N/A</v>
      </c>
      <c r="AT10" s="511">
        <f>IF(BU10="In Service",'Maintenace Cost Assumptions'!$B$3*AS10,0)</f>
        <v>0</v>
      </c>
      <c r="AU10" s="318"/>
      <c r="AV10" s="318"/>
      <c r="AW10" s="318"/>
      <c r="AX10" s="318"/>
      <c r="AY10" s="318"/>
      <c r="AZ10" s="318"/>
      <c r="BA10" s="318"/>
      <c r="BB10" s="318"/>
      <c r="BC10" s="318"/>
      <c r="BD10" s="318"/>
      <c r="BE10" s="318"/>
      <c r="BF10" s="318"/>
      <c r="BG10" s="319">
        <f>(AU10*'Condition rating weights'!H$8+AV10*'Condition rating weights'!I$8+AW10*'Condition rating weights'!J$8+AX10*'Condition rating weights'!K$8+AY10*'Condition rating weights'!L$8+AZ10*'Condition rating weights'!M$8+BA10*'Condition rating weights'!N$8+BB10*'Condition rating weights'!O$8+BC10*'Condition rating weights'!P$8+BD10*'Condition rating weights'!Q$8+BE10*'Condition rating weights'!R$8+BF10*'Condition rating weights'!S$8)/100</f>
        <v>0</v>
      </c>
      <c r="BH10" s="333"/>
      <c r="BI10" s="333"/>
      <c r="BJ10" s="333"/>
      <c r="BK10" s="333"/>
      <c r="BL10" s="333"/>
      <c r="BM10" s="333"/>
      <c r="BN10" s="333"/>
      <c r="BO10" s="333"/>
      <c r="BP10" s="333"/>
      <c r="BQ10" s="333"/>
      <c r="BR10" s="333"/>
      <c r="BS10" s="333"/>
      <c r="BT10" s="334"/>
      <c r="BU10" s="335"/>
      <c r="BV10" s="255"/>
      <c r="BY10" s="306" t="str">
        <f>'GRC and TUL Assumptions'!A10</f>
        <v>Floor Covering</v>
      </c>
      <c r="BZ10" s="305">
        <f>'GRC and TUL Assumptions'!C10</f>
        <v>100</v>
      </c>
      <c r="CA10" s="305">
        <f>'GRC and TUL Assumptions'!D10</f>
        <v>150</v>
      </c>
      <c r="CB10" s="305">
        <f>'GRC and TUL Assumptions'!E10</f>
        <v>300</v>
      </c>
      <c r="CC10" s="305">
        <v>0</v>
      </c>
      <c r="CD10" s="305">
        <f>'GRC and TUL Assumptions'!F10</f>
        <v>20</v>
      </c>
      <c r="CE10" s="305">
        <f>'GRC and TUL Assumptions'!G10</f>
        <v>30</v>
      </c>
      <c r="CF10" s="305">
        <f>'GRC and TUL Assumptions'!H10</f>
        <v>40</v>
      </c>
      <c r="CG10" s="305">
        <f t="shared" si="32"/>
        <v>20</v>
      </c>
      <c r="CH10" s="323" t="e">
        <f t="shared" si="5"/>
        <v>#N/A</v>
      </c>
      <c r="CI10" s="323" t="e">
        <f t="shared" si="6"/>
        <v>#N/A</v>
      </c>
      <c r="CJ10" s="323" t="e">
        <f t="shared" si="7"/>
        <v>#N/A</v>
      </c>
      <c r="CK10" s="323" t="e">
        <f t="shared" si="8"/>
        <v>#N/A</v>
      </c>
      <c r="CL10" s="323" t="e">
        <f t="shared" si="9"/>
        <v>#N/A</v>
      </c>
      <c r="CM10" s="323" t="e">
        <f t="shared" si="10"/>
        <v>#N/A</v>
      </c>
      <c r="CN10" s="323" t="e">
        <f t="shared" si="11"/>
        <v>#N/A</v>
      </c>
      <c r="CO10" s="323" t="e">
        <f t="shared" si="12"/>
        <v>#N/A</v>
      </c>
      <c r="CP10" s="323" t="e">
        <f t="shared" si="13"/>
        <v>#N/A</v>
      </c>
      <c r="CQ10" s="323" t="e">
        <f t="shared" si="14"/>
        <v>#N/A</v>
      </c>
      <c r="CR10" s="324" t="e">
        <f t="shared" si="33"/>
        <v>#N/A</v>
      </c>
      <c r="CS10" s="325" t="e">
        <f>(HLOOKUP($AI10,'Inflation Adjustments'!$B$3:$BT$4,2,TRUE))*CH10</f>
        <v>#N/A</v>
      </c>
      <c r="CT10" s="325" t="e">
        <f>(HLOOKUP($AI10,'Inflation Adjustments'!$B$3:$BT$4,2,TRUE))*CI10</f>
        <v>#N/A</v>
      </c>
      <c r="CU10" s="325" t="e">
        <f>(HLOOKUP($AI10,'Inflation Adjustments'!$B$3:$BT$4,2,TRUE))*CJ10</f>
        <v>#N/A</v>
      </c>
      <c r="CV10" s="325" t="e">
        <f>(HLOOKUP($AI10,'Inflation Adjustments'!$B$3:$BT$4,2,TRUE))*CK10</f>
        <v>#N/A</v>
      </c>
      <c r="CW10" s="325" t="e">
        <f>(HLOOKUP($AI10,'Inflation Adjustments'!$B$3:$BT$4,2,TRUE))*CL10</f>
        <v>#N/A</v>
      </c>
      <c r="CX10" s="325" t="e">
        <f>(HLOOKUP($AI10,'Inflation Adjustments'!$B$3:$BT$4,2,TRUE))*CM10</f>
        <v>#N/A</v>
      </c>
      <c r="CY10" s="325" t="e">
        <f>(HLOOKUP($AI10,'Inflation Adjustments'!$B$3:$BT$4,2,TRUE))*CN10</f>
        <v>#N/A</v>
      </c>
      <c r="CZ10" s="325" t="e">
        <f>(HLOOKUP($AI10,'Inflation Adjustments'!$B$3:$BT$4,2,TRUE))*CO10</f>
        <v>#N/A</v>
      </c>
      <c r="DA10" s="325" t="e">
        <f>(HLOOKUP($AI10,'Inflation Adjustments'!$B$3:$BT$4,2,TRUE))*CP10</f>
        <v>#N/A</v>
      </c>
      <c r="DB10" s="325" t="e">
        <f>(HLOOKUP($AI10,'Inflation Adjustments'!$B$3:$BT$4,2,TRUE))*CQ10</f>
        <v>#N/A</v>
      </c>
      <c r="DC10" s="325" t="e">
        <f t="shared" si="34"/>
        <v>#N/A</v>
      </c>
      <c r="DD10" s="326">
        <f t="shared" si="15"/>
        <v>2022</v>
      </c>
      <c r="DE10" s="323" t="e">
        <f t="shared" si="16"/>
        <v>#N/A</v>
      </c>
      <c r="DF10" s="323" t="e">
        <f t="shared" si="17"/>
        <v>#N/A</v>
      </c>
      <c r="DG10" s="323" t="e">
        <f t="shared" si="18"/>
        <v>#N/A</v>
      </c>
      <c r="DH10" s="323" t="e">
        <f t="shared" si="19"/>
        <v>#N/A</v>
      </c>
      <c r="DI10" s="323" t="e">
        <f t="shared" si="20"/>
        <v>#N/A</v>
      </c>
      <c r="DJ10" s="323" t="e">
        <f t="shared" si="21"/>
        <v>#N/A</v>
      </c>
      <c r="DK10" s="323" t="e">
        <f t="shared" si="22"/>
        <v>#N/A</v>
      </c>
      <c r="DL10" s="323" t="e">
        <f t="shared" si="22"/>
        <v>#N/A</v>
      </c>
      <c r="DM10" s="323" t="e">
        <f t="shared" si="23"/>
        <v>#N/A</v>
      </c>
      <c r="DN10" s="323" t="e">
        <f t="shared" si="24"/>
        <v>#N/A</v>
      </c>
      <c r="DO10" s="327" t="e">
        <f t="shared" si="25"/>
        <v>#N/A</v>
      </c>
      <c r="DP10" s="327" t="e">
        <f t="shared" si="25"/>
        <v>#N/A</v>
      </c>
      <c r="DQ10" s="327" t="e">
        <f t="shared" si="25"/>
        <v>#N/A</v>
      </c>
      <c r="DR10" s="327" t="e">
        <f t="shared" si="25"/>
        <v>#N/A</v>
      </c>
      <c r="DS10" s="327" t="e">
        <f t="shared" si="25"/>
        <v>#N/A</v>
      </c>
      <c r="DT10" s="327" t="e">
        <f t="shared" si="25"/>
        <v>#N/A</v>
      </c>
      <c r="DU10" s="327" t="e">
        <f t="shared" si="25"/>
        <v>#N/A</v>
      </c>
      <c r="DV10" s="327" t="e">
        <f t="shared" si="25"/>
        <v>#N/A</v>
      </c>
      <c r="DW10" s="327" t="e">
        <f t="shared" si="25"/>
        <v>#N/A</v>
      </c>
      <c r="DX10" s="327" t="e">
        <f t="shared" si="25"/>
        <v>#N/A</v>
      </c>
      <c r="DY10" s="327" t="e">
        <f t="shared" si="35"/>
        <v>#N/A</v>
      </c>
      <c r="DZ10" s="323" t="e">
        <f t="shared" si="26"/>
        <v>#N/A</v>
      </c>
      <c r="EA10" s="323" t="e">
        <f t="shared" si="26"/>
        <v>#N/A</v>
      </c>
      <c r="EB10" s="323" t="e">
        <f t="shared" si="26"/>
        <v>#N/A</v>
      </c>
      <c r="EC10" s="323" t="e">
        <f t="shared" si="26"/>
        <v>#N/A</v>
      </c>
      <c r="ED10" s="323" t="e">
        <f t="shared" si="26"/>
        <v>#N/A</v>
      </c>
      <c r="EE10" s="323" t="e">
        <f t="shared" si="26"/>
        <v>#N/A</v>
      </c>
      <c r="EF10" s="323" t="e">
        <f t="shared" si="26"/>
        <v>#N/A</v>
      </c>
      <c r="EG10" s="323" t="e">
        <f t="shared" si="26"/>
        <v>#N/A</v>
      </c>
      <c r="EH10" s="323" t="e">
        <f t="shared" si="26"/>
        <v>#N/A</v>
      </c>
      <c r="EI10" s="323" t="e">
        <f t="shared" si="26"/>
        <v>#N/A</v>
      </c>
      <c r="EJ10" s="324" t="e">
        <f t="shared" si="36"/>
        <v>#N/A</v>
      </c>
      <c r="EK10" s="327" t="e">
        <f t="shared" si="27"/>
        <v>#N/A</v>
      </c>
      <c r="EL10" s="327" t="e">
        <f t="shared" si="27"/>
        <v>#N/A</v>
      </c>
      <c r="EM10" s="327" t="e">
        <f t="shared" si="27"/>
        <v>#N/A</v>
      </c>
      <c r="EN10" s="327" t="e">
        <f t="shared" si="27"/>
        <v>#N/A</v>
      </c>
      <c r="EO10" s="327" t="e">
        <f t="shared" si="27"/>
        <v>#N/A</v>
      </c>
      <c r="EP10" s="327" t="e">
        <f t="shared" si="27"/>
        <v>#N/A</v>
      </c>
      <c r="EQ10" s="327" t="e">
        <f t="shared" si="27"/>
        <v>#N/A</v>
      </c>
      <c r="ER10" s="327" t="e">
        <f t="shared" si="27"/>
        <v>#N/A</v>
      </c>
      <c r="ES10" s="327" t="e">
        <f t="shared" si="27"/>
        <v>#N/A</v>
      </c>
      <c r="ET10" s="327" t="e">
        <f t="shared" si="27"/>
        <v>#N/A</v>
      </c>
      <c r="EU10" s="325" t="e">
        <f t="shared" si="37"/>
        <v>#N/A</v>
      </c>
      <c r="EV10" s="336"/>
      <c r="EW10" s="336"/>
      <c r="EX10" s="336"/>
      <c r="EY10" s="336"/>
      <c r="EZ10" s="336"/>
      <c r="FA10" s="336"/>
      <c r="FB10" s="336"/>
    </row>
    <row r="11" spans="1:165" ht="56" customHeight="1" x14ac:dyDescent="0.3">
      <c r="A11" s="330"/>
      <c r="B11" s="318"/>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7"/>
      <c r="AN11" s="317"/>
      <c r="AO11" s="317"/>
      <c r="AP11" s="317"/>
      <c r="AQ11" s="317"/>
      <c r="AR11" s="317"/>
      <c r="AS11" s="317"/>
      <c r="AT11" s="317"/>
      <c r="AU11" s="318"/>
      <c r="AV11" s="318"/>
      <c r="AW11" s="318"/>
      <c r="AX11" s="318"/>
      <c r="AY11" s="318"/>
      <c r="AZ11" s="318"/>
      <c r="BA11" s="318"/>
      <c r="BB11" s="318"/>
      <c r="BC11" s="318"/>
      <c r="BD11" s="318"/>
      <c r="BE11" s="318"/>
      <c r="BF11" s="318"/>
      <c r="BG11" s="318"/>
      <c r="BH11" s="333"/>
      <c r="BI11" s="333"/>
      <c r="BJ11" s="333"/>
      <c r="BK11" s="333"/>
      <c r="BL11" s="333"/>
      <c r="BM11" s="333"/>
      <c r="BN11" s="333"/>
      <c r="BO11" s="333"/>
      <c r="BP11" s="333"/>
      <c r="BQ11" s="333"/>
      <c r="BR11" s="333"/>
      <c r="BS11" s="333"/>
      <c r="BT11" s="334"/>
      <c r="BU11" s="335"/>
      <c r="BV11" s="255"/>
      <c r="BY11" s="306" t="str">
        <f>'GRC and TUL Assumptions'!A11</f>
        <v>Service Mechanical</v>
      </c>
      <c r="BZ11" s="305">
        <f>'GRC and TUL Assumptions'!C11</f>
        <v>80</v>
      </c>
      <c r="CA11" s="305">
        <f>'GRC and TUL Assumptions'!D11</f>
        <v>100</v>
      </c>
      <c r="CB11" s="305">
        <f>'GRC and TUL Assumptions'!E11</f>
        <v>150</v>
      </c>
      <c r="CC11" s="305">
        <v>0</v>
      </c>
      <c r="CD11" s="305">
        <f>'GRC and TUL Assumptions'!F11</f>
        <v>10</v>
      </c>
      <c r="CE11" s="305">
        <f>'GRC and TUL Assumptions'!G11</f>
        <v>20</v>
      </c>
      <c r="CF11" s="305">
        <f>'GRC and TUL Assumptions'!H11</f>
        <v>30</v>
      </c>
      <c r="CG11" s="305">
        <f t="shared" si="32"/>
        <v>10</v>
      </c>
      <c r="CH11" s="323" t="e">
        <f t="shared" si="5"/>
        <v>#N/A</v>
      </c>
      <c r="CI11" s="323" t="e">
        <f t="shared" si="6"/>
        <v>#N/A</v>
      </c>
      <c r="CJ11" s="323" t="e">
        <f t="shared" si="7"/>
        <v>#N/A</v>
      </c>
      <c r="CK11" s="323" t="e">
        <f t="shared" si="8"/>
        <v>#N/A</v>
      </c>
      <c r="CL11" s="323" t="e">
        <f t="shared" si="9"/>
        <v>#N/A</v>
      </c>
      <c r="CM11" s="323" t="e">
        <f t="shared" si="10"/>
        <v>#N/A</v>
      </c>
      <c r="CN11" s="323" t="e">
        <f t="shared" si="11"/>
        <v>#N/A</v>
      </c>
      <c r="CO11" s="323" t="e">
        <f t="shared" si="12"/>
        <v>#N/A</v>
      </c>
      <c r="CP11" s="323" t="e">
        <f t="shared" si="13"/>
        <v>#N/A</v>
      </c>
      <c r="CQ11" s="323" t="e">
        <f t="shared" si="14"/>
        <v>#N/A</v>
      </c>
      <c r="CR11" s="324" t="e">
        <f t="shared" si="33"/>
        <v>#N/A</v>
      </c>
      <c r="CS11" s="325" t="e">
        <f>(HLOOKUP($AI11,'Inflation Adjustments'!$B$3:$BT$4,2,TRUE))*CH11</f>
        <v>#N/A</v>
      </c>
      <c r="CT11" s="325" t="e">
        <f>(HLOOKUP($AI11,'Inflation Adjustments'!$B$3:$BT$4,2,TRUE))*CI11</f>
        <v>#N/A</v>
      </c>
      <c r="CU11" s="325" t="e">
        <f>(HLOOKUP($AI11,'Inflation Adjustments'!$B$3:$BT$4,2,TRUE))*CJ11</f>
        <v>#N/A</v>
      </c>
      <c r="CV11" s="325" t="e">
        <f>(HLOOKUP($AI11,'Inflation Adjustments'!$B$3:$BT$4,2,TRUE))*CK11</f>
        <v>#N/A</v>
      </c>
      <c r="CW11" s="325" t="e">
        <f>(HLOOKUP($AI11,'Inflation Adjustments'!$B$3:$BT$4,2,TRUE))*CL11</f>
        <v>#N/A</v>
      </c>
      <c r="CX11" s="325" t="e">
        <f>(HLOOKUP($AI11,'Inflation Adjustments'!$B$3:$BT$4,2,TRUE))*CM11</f>
        <v>#N/A</v>
      </c>
      <c r="CY11" s="325" t="e">
        <f>(HLOOKUP($AI11,'Inflation Adjustments'!$B$3:$BT$4,2,TRUE))*CN11</f>
        <v>#N/A</v>
      </c>
      <c r="CZ11" s="325" t="e">
        <f>(HLOOKUP($AI11,'Inflation Adjustments'!$B$3:$BT$4,2,TRUE))*CO11</f>
        <v>#N/A</v>
      </c>
      <c r="DA11" s="325" t="e">
        <f>(HLOOKUP($AI11,'Inflation Adjustments'!$B$3:$BT$4,2,TRUE))*CP11</f>
        <v>#N/A</v>
      </c>
      <c r="DB11" s="325" t="e">
        <f>(HLOOKUP($AI11,'Inflation Adjustments'!$B$3:$BT$4,2,TRUE))*CQ11</f>
        <v>#N/A</v>
      </c>
      <c r="DC11" s="325" t="e">
        <f t="shared" si="34"/>
        <v>#N/A</v>
      </c>
      <c r="DD11" s="326">
        <f t="shared" si="15"/>
        <v>2022</v>
      </c>
      <c r="DE11" s="323" t="e">
        <f t="shared" si="16"/>
        <v>#N/A</v>
      </c>
      <c r="DF11" s="323" t="e">
        <f t="shared" si="17"/>
        <v>#N/A</v>
      </c>
      <c r="DG11" s="323" t="e">
        <f t="shared" si="18"/>
        <v>#N/A</v>
      </c>
      <c r="DH11" s="323" t="e">
        <f t="shared" si="19"/>
        <v>#N/A</v>
      </c>
      <c r="DI11" s="323" t="e">
        <f t="shared" si="20"/>
        <v>#N/A</v>
      </c>
      <c r="DJ11" s="323" t="e">
        <f t="shared" si="21"/>
        <v>#N/A</v>
      </c>
      <c r="DK11" s="323" t="e">
        <f t="shared" si="22"/>
        <v>#N/A</v>
      </c>
      <c r="DL11" s="323" t="e">
        <f t="shared" si="22"/>
        <v>#N/A</v>
      </c>
      <c r="DM11" s="323" t="e">
        <f t="shared" si="23"/>
        <v>#N/A</v>
      </c>
      <c r="DN11" s="323" t="e">
        <f t="shared" si="24"/>
        <v>#N/A</v>
      </c>
      <c r="DO11" s="327" t="e">
        <f t="shared" si="25"/>
        <v>#N/A</v>
      </c>
      <c r="DP11" s="327" t="e">
        <f t="shared" si="25"/>
        <v>#N/A</v>
      </c>
      <c r="DQ11" s="327" t="e">
        <f t="shared" si="25"/>
        <v>#N/A</v>
      </c>
      <c r="DR11" s="327" t="e">
        <f t="shared" si="25"/>
        <v>#N/A</v>
      </c>
      <c r="DS11" s="327" t="e">
        <f t="shared" si="25"/>
        <v>#N/A</v>
      </c>
      <c r="DT11" s="327" t="e">
        <f t="shared" si="25"/>
        <v>#N/A</v>
      </c>
      <c r="DU11" s="327" t="e">
        <f t="shared" si="25"/>
        <v>#N/A</v>
      </c>
      <c r="DV11" s="327" t="e">
        <f t="shared" si="25"/>
        <v>#N/A</v>
      </c>
      <c r="DW11" s="327" t="e">
        <f t="shared" si="25"/>
        <v>#N/A</v>
      </c>
      <c r="DX11" s="327" t="e">
        <f t="shared" si="25"/>
        <v>#N/A</v>
      </c>
      <c r="DY11" s="327" t="e">
        <f t="shared" si="35"/>
        <v>#N/A</v>
      </c>
      <c r="DZ11" s="323" t="e">
        <f t="shared" si="26"/>
        <v>#N/A</v>
      </c>
      <c r="EA11" s="323" t="e">
        <f t="shared" si="26"/>
        <v>#N/A</v>
      </c>
      <c r="EB11" s="323" t="e">
        <f t="shared" si="26"/>
        <v>#N/A</v>
      </c>
      <c r="EC11" s="323" t="e">
        <f t="shared" si="26"/>
        <v>#N/A</v>
      </c>
      <c r="ED11" s="323" t="e">
        <f t="shared" si="26"/>
        <v>#N/A</v>
      </c>
      <c r="EE11" s="323" t="e">
        <f t="shared" si="26"/>
        <v>#N/A</v>
      </c>
      <c r="EF11" s="323" t="e">
        <f t="shared" si="26"/>
        <v>#N/A</v>
      </c>
      <c r="EG11" s="323" t="e">
        <f t="shared" si="26"/>
        <v>#N/A</v>
      </c>
      <c r="EH11" s="323" t="e">
        <f t="shared" si="26"/>
        <v>#N/A</v>
      </c>
      <c r="EI11" s="323" t="e">
        <f t="shared" si="26"/>
        <v>#N/A</v>
      </c>
      <c r="EJ11" s="324" t="e">
        <f t="shared" si="36"/>
        <v>#N/A</v>
      </c>
      <c r="EK11" s="327" t="e">
        <f t="shared" si="27"/>
        <v>#N/A</v>
      </c>
      <c r="EL11" s="327" t="e">
        <f t="shared" si="27"/>
        <v>#N/A</v>
      </c>
      <c r="EM11" s="327" t="e">
        <f t="shared" si="27"/>
        <v>#N/A</v>
      </c>
      <c r="EN11" s="327" t="e">
        <f t="shared" si="27"/>
        <v>#N/A</v>
      </c>
      <c r="EO11" s="327" t="e">
        <f t="shared" si="27"/>
        <v>#N/A</v>
      </c>
      <c r="EP11" s="327" t="e">
        <f t="shared" si="27"/>
        <v>#N/A</v>
      </c>
      <c r="EQ11" s="327" t="e">
        <f t="shared" si="27"/>
        <v>#N/A</v>
      </c>
      <c r="ER11" s="327" t="e">
        <f t="shared" si="27"/>
        <v>#N/A</v>
      </c>
      <c r="ES11" s="327" t="e">
        <f t="shared" si="27"/>
        <v>#N/A</v>
      </c>
      <c r="ET11" s="327" t="e">
        <f t="shared" si="27"/>
        <v>#N/A</v>
      </c>
      <c r="EU11" s="325" t="e">
        <f t="shared" si="37"/>
        <v>#N/A</v>
      </c>
      <c r="EV11" s="336"/>
      <c r="EW11" s="336"/>
      <c r="EX11" s="336"/>
      <c r="EY11" s="336"/>
      <c r="EZ11" s="336"/>
      <c r="FA11" s="336"/>
      <c r="FB11" s="336"/>
    </row>
    <row r="12" spans="1:165" ht="56" customHeight="1" x14ac:dyDescent="0.3">
      <c r="A12" s="330"/>
      <c r="B12" s="318"/>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7"/>
      <c r="AN12" s="317"/>
      <c r="AO12" s="317"/>
      <c r="AP12" s="317"/>
      <c r="AQ12" s="317"/>
      <c r="AR12" s="317"/>
      <c r="AS12" s="317"/>
      <c r="AT12" s="317"/>
      <c r="AU12" s="318"/>
      <c r="AV12" s="318"/>
      <c r="AW12" s="318"/>
      <c r="AX12" s="318"/>
      <c r="AY12" s="318"/>
      <c r="AZ12" s="318"/>
      <c r="BA12" s="318"/>
      <c r="BB12" s="318"/>
      <c r="BC12" s="318"/>
      <c r="BD12" s="318"/>
      <c r="BE12" s="318"/>
      <c r="BF12" s="318"/>
      <c r="BG12" s="318"/>
      <c r="BH12" s="333"/>
      <c r="BI12" s="333"/>
      <c r="BJ12" s="333"/>
      <c r="BK12" s="333"/>
      <c r="BL12" s="333"/>
      <c r="BM12" s="333"/>
      <c r="BN12" s="333"/>
      <c r="BO12" s="333"/>
      <c r="BP12" s="333"/>
      <c r="BQ12" s="333"/>
      <c r="BR12" s="333"/>
      <c r="BS12" s="333"/>
      <c r="BT12" s="334"/>
      <c r="BU12" s="335"/>
      <c r="BV12" s="255"/>
      <c r="BY12" s="306" t="str">
        <f>'GRC and TUL Assumptions'!A12</f>
        <v>Services Electrical</v>
      </c>
      <c r="BZ12" s="305">
        <f>'GRC and TUL Assumptions'!C12</f>
        <v>80</v>
      </c>
      <c r="CA12" s="305">
        <f>'GRC and TUL Assumptions'!D12</f>
        <v>100</v>
      </c>
      <c r="CB12" s="305">
        <f>'GRC and TUL Assumptions'!E12</f>
        <v>150</v>
      </c>
      <c r="CC12" s="305">
        <v>0</v>
      </c>
      <c r="CD12" s="305">
        <f>'GRC and TUL Assumptions'!F12</f>
        <v>20</v>
      </c>
      <c r="CE12" s="305">
        <f>'GRC and TUL Assumptions'!G12</f>
        <v>30</v>
      </c>
      <c r="CF12" s="305">
        <f>'GRC and TUL Assumptions'!H12</f>
        <v>40</v>
      </c>
      <c r="CG12" s="305">
        <f t="shared" si="32"/>
        <v>20</v>
      </c>
      <c r="CH12" s="323" t="e">
        <f t="shared" si="5"/>
        <v>#N/A</v>
      </c>
      <c r="CI12" s="323" t="e">
        <f t="shared" si="6"/>
        <v>#N/A</v>
      </c>
      <c r="CJ12" s="323" t="e">
        <f t="shared" si="7"/>
        <v>#N/A</v>
      </c>
      <c r="CK12" s="323" t="e">
        <f t="shared" si="8"/>
        <v>#N/A</v>
      </c>
      <c r="CL12" s="323" t="e">
        <f t="shared" si="9"/>
        <v>#N/A</v>
      </c>
      <c r="CM12" s="323" t="e">
        <f t="shared" si="10"/>
        <v>#N/A</v>
      </c>
      <c r="CN12" s="323" t="e">
        <f t="shared" si="11"/>
        <v>#N/A</v>
      </c>
      <c r="CO12" s="323" t="e">
        <f t="shared" si="12"/>
        <v>#N/A</v>
      </c>
      <c r="CP12" s="323" t="e">
        <f t="shared" si="13"/>
        <v>#N/A</v>
      </c>
      <c r="CQ12" s="323" t="e">
        <f t="shared" si="14"/>
        <v>#N/A</v>
      </c>
      <c r="CR12" s="324" t="e">
        <f t="shared" si="33"/>
        <v>#N/A</v>
      </c>
      <c r="CS12" s="325" t="e">
        <f>(HLOOKUP($AI12,'Inflation Adjustments'!$B$3:$BT$4,2,TRUE))*CH12</f>
        <v>#N/A</v>
      </c>
      <c r="CT12" s="325" t="e">
        <f>(HLOOKUP($AI12,'Inflation Adjustments'!$B$3:$BT$4,2,TRUE))*CI12</f>
        <v>#N/A</v>
      </c>
      <c r="CU12" s="325" t="e">
        <f>(HLOOKUP($AI12,'Inflation Adjustments'!$B$3:$BT$4,2,TRUE))*CJ12</f>
        <v>#N/A</v>
      </c>
      <c r="CV12" s="325" t="e">
        <f>(HLOOKUP($AI12,'Inflation Adjustments'!$B$3:$BT$4,2,TRUE))*CK12</f>
        <v>#N/A</v>
      </c>
      <c r="CW12" s="325" t="e">
        <f>(HLOOKUP($AI12,'Inflation Adjustments'!$B$3:$BT$4,2,TRUE))*CL12</f>
        <v>#N/A</v>
      </c>
      <c r="CX12" s="325" t="e">
        <f>(HLOOKUP($AI12,'Inflation Adjustments'!$B$3:$BT$4,2,TRUE))*CM12</f>
        <v>#N/A</v>
      </c>
      <c r="CY12" s="325" t="e">
        <f>(HLOOKUP($AI12,'Inflation Adjustments'!$B$3:$BT$4,2,TRUE))*CN12</f>
        <v>#N/A</v>
      </c>
      <c r="CZ12" s="325" t="e">
        <f>(HLOOKUP($AI12,'Inflation Adjustments'!$B$3:$BT$4,2,TRUE))*CO12</f>
        <v>#N/A</v>
      </c>
      <c r="DA12" s="325" t="e">
        <f>(HLOOKUP($AI12,'Inflation Adjustments'!$B$3:$BT$4,2,TRUE))*CP12</f>
        <v>#N/A</v>
      </c>
      <c r="DB12" s="325" t="e">
        <f>(HLOOKUP($AI12,'Inflation Adjustments'!$B$3:$BT$4,2,TRUE))*CQ12</f>
        <v>#N/A</v>
      </c>
      <c r="DC12" s="325" t="e">
        <f t="shared" si="34"/>
        <v>#N/A</v>
      </c>
      <c r="DD12" s="326">
        <f t="shared" si="15"/>
        <v>2022</v>
      </c>
      <c r="DE12" s="323" t="e">
        <f t="shared" si="16"/>
        <v>#N/A</v>
      </c>
      <c r="DF12" s="323" t="e">
        <f t="shared" si="17"/>
        <v>#N/A</v>
      </c>
      <c r="DG12" s="323" t="e">
        <f t="shared" si="18"/>
        <v>#N/A</v>
      </c>
      <c r="DH12" s="323" t="e">
        <f t="shared" si="19"/>
        <v>#N/A</v>
      </c>
      <c r="DI12" s="323" t="e">
        <f t="shared" si="20"/>
        <v>#N/A</v>
      </c>
      <c r="DJ12" s="323" t="e">
        <f t="shared" si="21"/>
        <v>#N/A</v>
      </c>
      <c r="DK12" s="323" t="e">
        <f t="shared" si="22"/>
        <v>#N/A</v>
      </c>
      <c r="DL12" s="323" t="e">
        <f t="shared" si="22"/>
        <v>#N/A</v>
      </c>
      <c r="DM12" s="323" t="e">
        <f t="shared" si="23"/>
        <v>#N/A</v>
      </c>
      <c r="DN12" s="323" t="e">
        <f t="shared" si="24"/>
        <v>#N/A</v>
      </c>
      <c r="DO12" s="327" t="e">
        <f t="shared" si="25"/>
        <v>#N/A</v>
      </c>
      <c r="DP12" s="327" t="e">
        <f t="shared" si="25"/>
        <v>#N/A</v>
      </c>
      <c r="DQ12" s="327" t="e">
        <f t="shared" si="25"/>
        <v>#N/A</v>
      </c>
      <c r="DR12" s="327" t="e">
        <f t="shared" si="25"/>
        <v>#N/A</v>
      </c>
      <c r="DS12" s="327" t="e">
        <f t="shared" si="25"/>
        <v>#N/A</v>
      </c>
      <c r="DT12" s="327" t="e">
        <f t="shared" si="25"/>
        <v>#N/A</v>
      </c>
      <c r="DU12" s="327" t="e">
        <f t="shared" si="25"/>
        <v>#N/A</v>
      </c>
      <c r="DV12" s="327" t="e">
        <f t="shared" si="25"/>
        <v>#N/A</v>
      </c>
      <c r="DW12" s="327" t="e">
        <f t="shared" si="25"/>
        <v>#N/A</v>
      </c>
      <c r="DX12" s="327" t="e">
        <f t="shared" si="25"/>
        <v>#N/A</v>
      </c>
      <c r="DY12" s="327" t="e">
        <f t="shared" si="35"/>
        <v>#N/A</v>
      </c>
      <c r="DZ12" s="323" t="e">
        <f t="shared" si="26"/>
        <v>#N/A</v>
      </c>
      <c r="EA12" s="323" t="e">
        <f t="shared" si="26"/>
        <v>#N/A</v>
      </c>
      <c r="EB12" s="323" t="e">
        <f t="shared" si="26"/>
        <v>#N/A</v>
      </c>
      <c r="EC12" s="323" t="e">
        <f t="shared" si="26"/>
        <v>#N/A</v>
      </c>
      <c r="ED12" s="323" t="e">
        <f t="shared" si="26"/>
        <v>#N/A</v>
      </c>
      <c r="EE12" s="323" t="e">
        <f t="shared" si="26"/>
        <v>#N/A</v>
      </c>
      <c r="EF12" s="323" t="e">
        <f t="shared" si="26"/>
        <v>#N/A</v>
      </c>
      <c r="EG12" s="323" t="e">
        <f t="shared" si="26"/>
        <v>#N/A</v>
      </c>
      <c r="EH12" s="323" t="e">
        <f t="shared" si="26"/>
        <v>#N/A</v>
      </c>
      <c r="EI12" s="323" t="e">
        <f t="shared" si="26"/>
        <v>#N/A</v>
      </c>
      <c r="EJ12" s="324" t="e">
        <f t="shared" si="36"/>
        <v>#N/A</v>
      </c>
      <c r="EK12" s="327" t="e">
        <f t="shared" si="27"/>
        <v>#N/A</v>
      </c>
      <c r="EL12" s="327" t="e">
        <f t="shared" si="27"/>
        <v>#N/A</v>
      </c>
      <c r="EM12" s="327" t="e">
        <f t="shared" si="27"/>
        <v>#N/A</v>
      </c>
      <c r="EN12" s="327" t="e">
        <f t="shared" si="27"/>
        <v>#N/A</v>
      </c>
      <c r="EO12" s="327" t="e">
        <f t="shared" si="27"/>
        <v>#N/A</v>
      </c>
      <c r="EP12" s="327" t="e">
        <f t="shared" si="27"/>
        <v>#N/A</v>
      </c>
      <c r="EQ12" s="327" t="e">
        <f t="shared" si="27"/>
        <v>#N/A</v>
      </c>
      <c r="ER12" s="327" t="e">
        <f t="shared" si="27"/>
        <v>#N/A</v>
      </c>
      <c r="ES12" s="327" t="e">
        <f t="shared" si="27"/>
        <v>#N/A</v>
      </c>
      <c r="ET12" s="327" t="e">
        <f t="shared" si="27"/>
        <v>#N/A</v>
      </c>
      <c r="EU12" s="325" t="e">
        <f t="shared" si="37"/>
        <v>#N/A</v>
      </c>
      <c r="EV12" s="336"/>
      <c r="EW12" s="336"/>
      <c r="EX12" s="336"/>
      <c r="EY12" s="336"/>
      <c r="EZ12" s="336"/>
      <c r="FA12" s="336"/>
      <c r="FB12" s="336"/>
    </row>
    <row r="13" spans="1:165" ht="64" customHeight="1" x14ac:dyDescent="0.3">
      <c r="A13" s="330"/>
      <c r="B13" s="318"/>
      <c r="C13" s="318"/>
      <c r="D13" s="318"/>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7"/>
      <c r="AN13" s="317"/>
      <c r="AO13" s="317"/>
      <c r="AP13" s="317"/>
      <c r="AQ13" s="317"/>
      <c r="AR13" s="317"/>
      <c r="AS13" s="317"/>
      <c r="AT13" s="317"/>
      <c r="AU13" s="318"/>
      <c r="AV13" s="318"/>
      <c r="AW13" s="318"/>
      <c r="AX13" s="318"/>
      <c r="AY13" s="318"/>
      <c r="AZ13" s="318"/>
      <c r="BA13" s="318"/>
      <c r="BB13" s="318"/>
      <c r="BC13" s="318"/>
      <c r="BD13" s="318"/>
      <c r="BE13" s="318"/>
      <c r="BF13" s="318"/>
      <c r="BG13" s="318"/>
      <c r="BH13" s="333"/>
      <c r="BI13" s="333"/>
      <c r="BJ13" s="333"/>
      <c r="BK13" s="333"/>
      <c r="BL13" s="333"/>
      <c r="BM13" s="333"/>
      <c r="BN13" s="333"/>
      <c r="BO13" s="333"/>
      <c r="BP13" s="333"/>
      <c r="BQ13" s="333"/>
      <c r="BR13" s="333"/>
      <c r="BS13" s="333"/>
      <c r="BT13" s="334"/>
      <c r="BU13" s="335"/>
      <c r="BV13" s="255"/>
      <c r="BY13" s="306" t="str">
        <f>'GRC and TUL Assumptions'!A13</f>
        <v>Services Sanitation</v>
      </c>
      <c r="BZ13" s="305">
        <f>'GRC and TUL Assumptions'!C13</f>
        <v>100</v>
      </c>
      <c r="CA13" s="305">
        <f>'GRC and TUL Assumptions'!D13</f>
        <v>130</v>
      </c>
      <c r="CB13" s="305">
        <f>'GRC and TUL Assumptions'!E13</f>
        <v>150</v>
      </c>
      <c r="CC13" s="305">
        <v>0</v>
      </c>
      <c r="CD13" s="305">
        <f>'GRC and TUL Assumptions'!F13</f>
        <v>20</v>
      </c>
      <c r="CE13" s="305">
        <f>'GRC and TUL Assumptions'!G13</f>
        <v>30</v>
      </c>
      <c r="CF13" s="305">
        <f>'GRC and TUL Assumptions'!H13</f>
        <v>40</v>
      </c>
      <c r="CG13" s="305">
        <f t="shared" si="32"/>
        <v>20</v>
      </c>
      <c r="CH13" s="323" t="e">
        <f t="shared" si="5"/>
        <v>#N/A</v>
      </c>
      <c r="CI13" s="323" t="e">
        <f t="shared" si="6"/>
        <v>#N/A</v>
      </c>
      <c r="CJ13" s="323" t="e">
        <f t="shared" si="7"/>
        <v>#N/A</v>
      </c>
      <c r="CK13" s="323" t="e">
        <f t="shared" si="8"/>
        <v>#N/A</v>
      </c>
      <c r="CL13" s="323" t="e">
        <f t="shared" si="9"/>
        <v>#N/A</v>
      </c>
      <c r="CM13" s="323" t="e">
        <f t="shared" si="10"/>
        <v>#N/A</v>
      </c>
      <c r="CN13" s="323" t="e">
        <f t="shared" si="11"/>
        <v>#N/A</v>
      </c>
      <c r="CO13" s="323" t="e">
        <f t="shared" si="12"/>
        <v>#N/A</v>
      </c>
      <c r="CP13" s="323" t="e">
        <f t="shared" si="13"/>
        <v>#N/A</v>
      </c>
      <c r="CQ13" s="323" t="e">
        <f t="shared" si="14"/>
        <v>#N/A</v>
      </c>
      <c r="CR13" s="324" t="e">
        <f t="shared" si="33"/>
        <v>#N/A</v>
      </c>
      <c r="CS13" s="325" t="e">
        <f>(HLOOKUP($AI13,'Inflation Adjustments'!$B$3:$BT$4,2,TRUE))*CH13</f>
        <v>#N/A</v>
      </c>
      <c r="CT13" s="325" t="e">
        <f>(HLOOKUP($AI13,'Inflation Adjustments'!$B$3:$BT$4,2,TRUE))*CI13</f>
        <v>#N/A</v>
      </c>
      <c r="CU13" s="325" t="e">
        <f>(HLOOKUP($AI13,'Inflation Adjustments'!$B$3:$BT$4,2,TRUE))*CJ13</f>
        <v>#N/A</v>
      </c>
      <c r="CV13" s="325" t="e">
        <f>(HLOOKUP($AI13,'Inflation Adjustments'!$B$3:$BT$4,2,TRUE))*CK13</f>
        <v>#N/A</v>
      </c>
      <c r="CW13" s="325" t="e">
        <f>(HLOOKUP($AI13,'Inflation Adjustments'!$B$3:$BT$4,2,TRUE))*CL13</f>
        <v>#N/A</v>
      </c>
      <c r="CX13" s="325" t="e">
        <f>(HLOOKUP($AI13,'Inflation Adjustments'!$B$3:$BT$4,2,TRUE))*CM13</f>
        <v>#N/A</v>
      </c>
      <c r="CY13" s="325" t="e">
        <f>(HLOOKUP($AI13,'Inflation Adjustments'!$B$3:$BT$4,2,TRUE))*CN13</f>
        <v>#N/A</v>
      </c>
      <c r="CZ13" s="325" t="e">
        <f>(HLOOKUP($AI13,'Inflation Adjustments'!$B$3:$BT$4,2,TRUE))*CO13</f>
        <v>#N/A</v>
      </c>
      <c r="DA13" s="325" t="e">
        <f>(HLOOKUP($AI13,'Inflation Adjustments'!$B$3:$BT$4,2,TRUE))*CP13</f>
        <v>#N/A</v>
      </c>
      <c r="DB13" s="325" t="e">
        <f>(HLOOKUP($AI13,'Inflation Adjustments'!$B$3:$BT$4,2,TRUE))*CQ13</f>
        <v>#N/A</v>
      </c>
      <c r="DC13" s="325" t="e">
        <f t="shared" si="34"/>
        <v>#N/A</v>
      </c>
      <c r="DD13" s="326">
        <f t="shared" si="15"/>
        <v>2022</v>
      </c>
      <c r="DE13" s="323" t="e">
        <f t="shared" si="16"/>
        <v>#N/A</v>
      </c>
      <c r="DF13" s="323" t="e">
        <f t="shared" si="17"/>
        <v>#N/A</v>
      </c>
      <c r="DG13" s="323" t="e">
        <f t="shared" si="18"/>
        <v>#N/A</v>
      </c>
      <c r="DH13" s="323" t="e">
        <f t="shared" si="19"/>
        <v>#N/A</v>
      </c>
      <c r="DI13" s="323" t="e">
        <f t="shared" si="20"/>
        <v>#N/A</v>
      </c>
      <c r="DJ13" s="323" t="e">
        <f t="shared" si="21"/>
        <v>#N/A</v>
      </c>
      <c r="DK13" s="323" t="e">
        <f t="shared" si="22"/>
        <v>#N/A</v>
      </c>
      <c r="DL13" s="323" t="e">
        <f t="shared" si="22"/>
        <v>#N/A</v>
      </c>
      <c r="DM13" s="323" t="e">
        <f t="shared" si="23"/>
        <v>#N/A</v>
      </c>
      <c r="DN13" s="323" t="e">
        <f t="shared" si="24"/>
        <v>#N/A</v>
      </c>
      <c r="DO13" s="327" t="e">
        <f t="shared" si="25"/>
        <v>#N/A</v>
      </c>
      <c r="DP13" s="327" t="e">
        <f t="shared" si="25"/>
        <v>#N/A</v>
      </c>
      <c r="DQ13" s="327" t="e">
        <f t="shared" si="25"/>
        <v>#N/A</v>
      </c>
      <c r="DR13" s="327" t="e">
        <f t="shared" si="25"/>
        <v>#N/A</v>
      </c>
      <c r="DS13" s="327" t="e">
        <f t="shared" si="25"/>
        <v>#N/A</v>
      </c>
      <c r="DT13" s="327" t="e">
        <f t="shared" si="25"/>
        <v>#N/A</v>
      </c>
      <c r="DU13" s="327" t="e">
        <f t="shared" si="25"/>
        <v>#N/A</v>
      </c>
      <c r="DV13" s="327" t="e">
        <f t="shared" si="25"/>
        <v>#N/A</v>
      </c>
      <c r="DW13" s="327" t="e">
        <f t="shared" si="25"/>
        <v>#N/A</v>
      </c>
      <c r="DX13" s="327" t="e">
        <f t="shared" si="25"/>
        <v>#N/A</v>
      </c>
      <c r="DY13" s="327" t="e">
        <f t="shared" si="35"/>
        <v>#N/A</v>
      </c>
      <c r="DZ13" s="323" t="e">
        <f t="shared" si="26"/>
        <v>#N/A</v>
      </c>
      <c r="EA13" s="323" t="e">
        <f t="shared" si="26"/>
        <v>#N/A</v>
      </c>
      <c r="EB13" s="323" t="e">
        <f t="shared" si="26"/>
        <v>#N/A</v>
      </c>
      <c r="EC13" s="323" t="e">
        <f t="shared" si="26"/>
        <v>#N/A</v>
      </c>
      <c r="ED13" s="323" t="e">
        <f t="shared" si="26"/>
        <v>#N/A</v>
      </c>
      <c r="EE13" s="323" t="e">
        <f t="shared" si="26"/>
        <v>#N/A</v>
      </c>
      <c r="EF13" s="323" t="e">
        <f t="shared" si="26"/>
        <v>#N/A</v>
      </c>
      <c r="EG13" s="323" t="e">
        <f t="shared" si="26"/>
        <v>#N/A</v>
      </c>
      <c r="EH13" s="323" t="e">
        <f t="shared" si="26"/>
        <v>#N/A</v>
      </c>
      <c r="EI13" s="323" t="e">
        <f t="shared" si="26"/>
        <v>#N/A</v>
      </c>
      <c r="EJ13" s="324" t="e">
        <f t="shared" si="36"/>
        <v>#N/A</v>
      </c>
      <c r="EK13" s="327" t="e">
        <f t="shared" si="27"/>
        <v>#N/A</v>
      </c>
      <c r="EL13" s="327" t="e">
        <f t="shared" si="27"/>
        <v>#N/A</v>
      </c>
      <c r="EM13" s="327" t="e">
        <f t="shared" si="27"/>
        <v>#N/A</v>
      </c>
      <c r="EN13" s="327" t="e">
        <f t="shared" si="27"/>
        <v>#N/A</v>
      </c>
      <c r="EO13" s="327" t="e">
        <f t="shared" si="27"/>
        <v>#N/A</v>
      </c>
      <c r="EP13" s="327" t="e">
        <f t="shared" si="27"/>
        <v>#N/A</v>
      </c>
      <c r="EQ13" s="327" t="e">
        <f t="shared" si="27"/>
        <v>#N/A</v>
      </c>
      <c r="ER13" s="327" t="e">
        <f t="shared" si="27"/>
        <v>#N/A</v>
      </c>
      <c r="ES13" s="327" t="e">
        <f t="shared" si="27"/>
        <v>#N/A</v>
      </c>
      <c r="ET13" s="327" t="e">
        <f t="shared" si="27"/>
        <v>#N/A</v>
      </c>
      <c r="EU13" s="325" t="e">
        <f t="shared" si="37"/>
        <v>#N/A</v>
      </c>
      <c r="EV13" s="336"/>
      <c r="EW13" s="336"/>
      <c r="EX13" s="336"/>
      <c r="EY13" s="336"/>
      <c r="EZ13" s="336"/>
      <c r="FA13" s="336"/>
      <c r="FB13" s="336"/>
    </row>
    <row r="14" spans="1:165" ht="66.5" customHeight="1" x14ac:dyDescent="0.3">
      <c r="A14" s="330"/>
      <c r="B14" s="318"/>
      <c r="C14" s="318"/>
      <c r="D14" s="318"/>
      <c r="E14" s="318"/>
      <c r="F14" s="318"/>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7"/>
      <c r="AN14" s="317"/>
      <c r="AO14" s="317"/>
      <c r="AP14" s="317"/>
      <c r="AQ14" s="317"/>
      <c r="AR14" s="317"/>
      <c r="AS14" s="317"/>
      <c r="AT14" s="317"/>
      <c r="AU14" s="318"/>
      <c r="AV14" s="318"/>
      <c r="AW14" s="318"/>
      <c r="AX14" s="318"/>
      <c r="AY14" s="318"/>
      <c r="AZ14" s="318"/>
      <c r="BA14" s="318"/>
      <c r="BB14" s="318"/>
      <c r="BC14" s="318"/>
      <c r="BD14" s="318"/>
      <c r="BE14" s="318"/>
      <c r="BF14" s="318"/>
      <c r="BG14" s="318"/>
      <c r="BH14" s="333"/>
      <c r="BI14" s="333"/>
      <c r="BJ14" s="333"/>
      <c r="BK14" s="333"/>
      <c r="BL14" s="333"/>
      <c r="BM14" s="333"/>
      <c r="BN14" s="333"/>
      <c r="BO14" s="333"/>
      <c r="BP14" s="333"/>
      <c r="BQ14" s="333"/>
      <c r="BR14" s="333"/>
      <c r="BS14" s="333"/>
      <c r="BT14" s="334"/>
      <c r="BU14" s="335"/>
      <c r="BV14" s="255"/>
      <c r="BY14" s="306" t="str">
        <f>'GRC and TUL Assumptions'!A14</f>
        <v>Services Water</v>
      </c>
      <c r="BZ14" s="305">
        <f>'GRC and TUL Assumptions'!C14</f>
        <v>20</v>
      </c>
      <c r="CA14" s="305">
        <f>'GRC and TUL Assumptions'!D14</f>
        <v>40</v>
      </c>
      <c r="CB14" s="305">
        <f>'GRC and TUL Assumptions'!E14</f>
        <v>70</v>
      </c>
      <c r="CC14" s="305">
        <v>0</v>
      </c>
      <c r="CD14" s="305">
        <f>'GRC and TUL Assumptions'!F14</f>
        <v>20</v>
      </c>
      <c r="CE14" s="305">
        <f>'GRC and TUL Assumptions'!G14</f>
        <v>30</v>
      </c>
      <c r="CF14" s="305">
        <f>'GRC and TUL Assumptions'!H14</f>
        <v>40</v>
      </c>
      <c r="CG14" s="305">
        <f t="shared" si="32"/>
        <v>20</v>
      </c>
      <c r="CH14" s="323" t="e">
        <f t="shared" si="5"/>
        <v>#N/A</v>
      </c>
      <c r="CI14" s="323" t="e">
        <f t="shared" si="6"/>
        <v>#N/A</v>
      </c>
      <c r="CJ14" s="323" t="e">
        <f t="shared" si="7"/>
        <v>#N/A</v>
      </c>
      <c r="CK14" s="323" t="e">
        <f t="shared" si="8"/>
        <v>#N/A</v>
      </c>
      <c r="CL14" s="323" t="e">
        <f t="shared" si="9"/>
        <v>#N/A</v>
      </c>
      <c r="CM14" s="323" t="e">
        <f t="shared" si="10"/>
        <v>#N/A</v>
      </c>
      <c r="CN14" s="323" t="e">
        <f t="shared" si="11"/>
        <v>#N/A</v>
      </c>
      <c r="CO14" s="323" t="e">
        <f t="shared" si="12"/>
        <v>#N/A</v>
      </c>
      <c r="CP14" s="323" t="e">
        <f t="shared" si="13"/>
        <v>#N/A</v>
      </c>
      <c r="CQ14" s="323" t="e">
        <f t="shared" si="14"/>
        <v>#N/A</v>
      </c>
      <c r="CR14" s="324" t="e">
        <f t="shared" si="33"/>
        <v>#N/A</v>
      </c>
      <c r="CS14" s="325" t="e">
        <f>(HLOOKUP($AI14,'Inflation Adjustments'!$B$3:$BT$4,2,TRUE))*CH14</f>
        <v>#N/A</v>
      </c>
      <c r="CT14" s="325" t="e">
        <f>(HLOOKUP($AI14,'Inflation Adjustments'!$B$3:$BT$4,2,TRUE))*CI14</f>
        <v>#N/A</v>
      </c>
      <c r="CU14" s="325" t="e">
        <f>(HLOOKUP($AI14,'Inflation Adjustments'!$B$3:$BT$4,2,TRUE))*CJ14</f>
        <v>#N/A</v>
      </c>
      <c r="CV14" s="325" t="e">
        <f>(HLOOKUP($AI14,'Inflation Adjustments'!$B$3:$BT$4,2,TRUE))*CK14</f>
        <v>#N/A</v>
      </c>
      <c r="CW14" s="325" t="e">
        <f>(HLOOKUP($AI14,'Inflation Adjustments'!$B$3:$BT$4,2,TRUE))*CL14</f>
        <v>#N/A</v>
      </c>
      <c r="CX14" s="325" t="e">
        <f>(HLOOKUP($AI14,'Inflation Adjustments'!$B$3:$BT$4,2,TRUE))*CM14</f>
        <v>#N/A</v>
      </c>
      <c r="CY14" s="325" t="e">
        <f>(HLOOKUP($AI14,'Inflation Adjustments'!$B$3:$BT$4,2,TRUE))*CN14</f>
        <v>#N/A</v>
      </c>
      <c r="CZ14" s="325" t="e">
        <f>(HLOOKUP($AI14,'Inflation Adjustments'!$B$3:$BT$4,2,TRUE))*CO14</f>
        <v>#N/A</v>
      </c>
      <c r="DA14" s="325" t="e">
        <f>(HLOOKUP($AI14,'Inflation Adjustments'!$B$3:$BT$4,2,TRUE))*CP14</f>
        <v>#N/A</v>
      </c>
      <c r="DB14" s="325" t="e">
        <f>(HLOOKUP($AI14,'Inflation Adjustments'!$B$3:$BT$4,2,TRUE))*CQ14</f>
        <v>#N/A</v>
      </c>
      <c r="DC14" s="325" t="e">
        <f t="shared" si="34"/>
        <v>#N/A</v>
      </c>
      <c r="DD14" s="326">
        <f t="shared" si="15"/>
        <v>2022</v>
      </c>
      <c r="DE14" s="323" t="e">
        <f t="shared" si="16"/>
        <v>#N/A</v>
      </c>
      <c r="DF14" s="323" t="e">
        <f t="shared" si="17"/>
        <v>#N/A</v>
      </c>
      <c r="DG14" s="323" t="e">
        <f t="shared" si="18"/>
        <v>#N/A</v>
      </c>
      <c r="DH14" s="323" t="e">
        <f t="shared" si="19"/>
        <v>#N/A</v>
      </c>
      <c r="DI14" s="323" t="e">
        <f t="shared" si="20"/>
        <v>#N/A</v>
      </c>
      <c r="DJ14" s="323" t="e">
        <f t="shared" si="21"/>
        <v>#N/A</v>
      </c>
      <c r="DK14" s="323" t="e">
        <f t="shared" si="22"/>
        <v>#N/A</v>
      </c>
      <c r="DL14" s="323" t="e">
        <f t="shared" si="22"/>
        <v>#N/A</v>
      </c>
      <c r="DM14" s="323" t="e">
        <f t="shared" si="23"/>
        <v>#N/A</v>
      </c>
      <c r="DN14" s="323" t="e">
        <f t="shared" si="24"/>
        <v>#N/A</v>
      </c>
      <c r="DO14" s="327" t="e">
        <f t="shared" si="25"/>
        <v>#N/A</v>
      </c>
      <c r="DP14" s="327" t="e">
        <f t="shared" si="25"/>
        <v>#N/A</v>
      </c>
      <c r="DQ14" s="327" t="e">
        <f t="shared" si="25"/>
        <v>#N/A</v>
      </c>
      <c r="DR14" s="327" t="e">
        <f t="shared" si="25"/>
        <v>#N/A</v>
      </c>
      <c r="DS14" s="327" t="e">
        <f t="shared" si="25"/>
        <v>#N/A</v>
      </c>
      <c r="DT14" s="327" t="e">
        <f t="shared" si="25"/>
        <v>#N/A</v>
      </c>
      <c r="DU14" s="327" t="e">
        <f t="shared" si="25"/>
        <v>#N/A</v>
      </c>
      <c r="DV14" s="327" t="e">
        <f t="shared" si="25"/>
        <v>#N/A</v>
      </c>
      <c r="DW14" s="327" t="e">
        <f t="shared" si="25"/>
        <v>#N/A</v>
      </c>
      <c r="DX14" s="327" t="e">
        <f t="shared" si="25"/>
        <v>#N/A</v>
      </c>
      <c r="DY14" s="327" t="e">
        <f t="shared" si="35"/>
        <v>#N/A</v>
      </c>
      <c r="DZ14" s="323" t="e">
        <f t="shared" si="26"/>
        <v>#N/A</v>
      </c>
      <c r="EA14" s="323" t="e">
        <f t="shared" si="26"/>
        <v>#N/A</v>
      </c>
      <c r="EB14" s="323" t="e">
        <f t="shared" si="26"/>
        <v>#N/A</v>
      </c>
      <c r="EC14" s="323" t="e">
        <f t="shared" si="26"/>
        <v>#N/A</v>
      </c>
      <c r="ED14" s="323" t="e">
        <f t="shared" si="26"/>
        <v>#N/A</v>
      </c>
      <c r="EE14" s="323" t="e">
        <f t="shared" si="26"/>
        <v>#N/A</v>
      </c>
      <c r="EF14" s="323" t="e">
        <f t="shared" si="26"/>
        <v>#N/A</v>
      </c>
      <c r="EG14" s="323" t="e">
        <f t="shared" si="26"/>
        <v>#N/A</v>
      </c>
      <c r="EH14" s="323" t="e">
        <f t="shared" si="26"/>
        <v>#N/A</v>
      </c>
      <c r="EI14" s="323" t="e">
        <f t="shared" si="26"/>
        <v>#N/A</v>
      </c>
      <c r="EJ14" s="324" t="e">
        <f t="shared" si="36"/>
        <v>#N/A</v>
      </c>
      <c r="EK14" s="327" t="e">
        <f t="shared" si="27"/>
        <v>#N/A</v>
      </c>
      <c r="EL14" s="327" t="e">
        <f t="shared" si="27"/>
        <v>#N/A</v>
      </c>
      <c r="EM14" s="327" t="e">
        <f t="shared" si="27"/>
        <v>#N/A</v>
      </c>
      <c r="EN14" s="327" t="e">
        <f t="shared" si="27"/>
        <v>#N/A</v>
      </c>
      <c r="EO14" s="327" t="e">
        <f t="shared" si="27"/>
        <v>#N/A</v>
      </c>
      <c r="EP14" s="327" t="e">
        <f t="shared" si="27"/>
        <v>#N/A</v>
      </c>
      <c r="EQ14" s="327" t="e">
        <f t="shared" si="27"/>
        <v>#N/A</v>
      </c>
      <c r="ER14" s="327" t="e">
        <f t="shared" si="27"/>
        <v>#N/A</v>
      </c>
      <c r="ES14" s="327" t="e">
        <f t="shared" si="27"/>
        <v>#N/A</v>
      </c>
      <c r="ET14" s="327" t="e">
        <f t="shared" si="27"/>
        <v>#N/A</v>
      </c>
      <c r="EU14" s="325" t="e">
        <f t="shared" si="37"/>
        <v>#N/A</v>
      </c>
      <c r="EV14" s="336"/>
      <c r="EW14" s="336"/>
      <c r="EX14" s="336"/>
      <c r="EY14" s="336"/>
      <c r="EZ14" s="336"/>
      <c r="FA14" s="336"/>
      <c r="FB14" s="336"/>
    </row>
    <row r="15" spans="1:165" ht="56.5" customHeight="1" x14ac:dyDescent="0.3">
      <c r="A15" s="330"/>
      <c r="B15" s="318"/>
      <c r="C15" s="318"/>
      <c r="D15" s="318"/>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7"/>
      <c r="AN15" s="317"/>
      <c r="AO15" s="317"/>
      <c r="AP15" s="317"/>
      <c r="AQ15" s="317"/>
      <c r="AR15" s="317"/>
      <c r="AS15" s="317"/>
      <c r="AT15" s="317"/>
      <c r="AU15" s="318"/>
      <c r="AV15" s="318"/>
      <c r="AW15" s="318"/>
      <c r="AX15" s="318"/>
      <c r="AY15" s="318"/>
      <c r="AZ15" s="318"/>
      <c r="BA15" s="318"/>
      <c r="BB15" s="318"/>
      <c r="BC15" s="318"/>
      <c r="BD15" s="318"/>
      <c r="BE15" s="318"/>
      <c r="BF15" s="318"/>
      <c r="BG15" s="318"/>
      <c r="BH15" s="333"/>
      <c r="BI15" s="333"/>
      <c r="BJ15" s="333"/>
      <c r="BK15" s="333"/>
      <c r="BL15" s="333"/>
      <c r="BM15" s="333"/>
      <c r="BN15" s="333"/>
      <c r="BO15" s="333"/>
      <c r="BP15" s="333"/>
      <c r="BQ15" s="333"/>
      <c r="BR15" s="333"/>
      <c r="BS15" s="333"/>
      <c r="BT15" s="334"/>
      <c r="BU15" s="335"/>
      <c r="BV15" s="255"/>
      <c r="CD15" s="290"/>
      <c r="CH15" s="323" t="e">
        <f t="shared" si="5"/>
        <v>#N/A</v>
      </c>
      <c r="CI15" s="323" t="e">
        <f t="shared" si="6"/>
        <v>#N/A</v>
      </c>
      <c r="CJ15" s="323" t="e">
        <f t="shared" si="7"/>
        <v>#N/A</v>
      </c>
      <c r="CK15" s="323" t="e">
        <f t="shared" si="8"/>
        <v>#N/A</v>
      </c>
      <c r="CL15" s="323" t="e">
        <f t="shared" si="9"/>
        <v>#N/A</v>
      </c>
      <c r="CM15" s="323" t="e">
        <f t="shared" si="10"/>
        <v>#N/A</v>
      </c>
      <c r="CN15" s="323" t="e">
        <f t="shared" si="11"/>
        <v>#N/A</v>
      </c>
      <c r="CO15" s="323" t="e">
        <f t="shared" si="12"/>
        <v>#N/A</v>
      </c>
      <c r="CP15" s="323" t="e">
        <f t="shared" si="13"/>
        <v>#N/A</v>
      </c>
      <c r="CQ15" s="323" t="e">
        <f t="shared" si="14"/>
        <v>#N/A</v>
      </c>
      <c r="CR15" s="324" t="e">
        <f t="shared" si="33"/>
        <v>#N/A</v>
      </c>
      <c r="CS15" s="325" t="e">
        <f>(HLOOKUP($AI15,'Inflation Adjustments'!$B$3:$BT$4,2,TRUE))*CH15</f>
        <v>#N/A</v>
      </c>
      <c r="CT15" s="325" t="e">
        <f>(HLOOKUP($AI15,'Inflation Adjustments'!$B$3:$BT$4,2,TRUE))*CI15</f>
        <v>#N/A</v>
      </c>
      <c r="CU15" s="325" t="e">
        <f>(HLOOKUP($AI15,'Inflation Adjustments'!$B$3:$BT$4,2,TRUE))*CJ15</f>
        <v>#N/A</v>
      </c>
      <c r="CV15" s="325" t="e">
        <f>(HLOOKUP($AI15,'Inflation Adjustments'!$B$3:$BT$4,2,TRUE))*CK15</f>
        <v>#N/A</v>
      </c>
      <c r="CW15" s="325" t="e">
        <f>(HLOOKUP($AI15,'Inflation Adjustments'!$B$3:$BT$4,2,TRUE))*CL15</f>
        <v>#N/A</v>
      </c>
      <c r="CX15" s="325" t="e">
        <f>(HLOOKUP($AI15,'Inflation Adjustments'!$B$3:$BT$4,2,TRUE))*CM15</f>
        <v>#N/A</v>
      </c>
      <c r="CY15" s="325" t="e">
        <f>(HLOOKUP($AI15,'Inflation Adjustments'!$B$3:$BT$4,2,TRUE))*CN15</f>
        <v>#N/A</v>
      </c>
      <c r="CZ15" s="325" t="e">
        <f>(HLOOKUP($AI15,'Inflation Adjustments'!$B$3:$BT$4,2,TRUE))*CO15</f>
        <v>#N/A</v>
      </c>
      <c r="DA15" s="325" t="e">
        <f>(HLOOKUP($AI15,'Inflation Adjustments'!$B$3:$BT$4,2,TRUE))*CP15</f>
        <v>#N/A</v>
      </c>
      <c r="DB15" s="325" t="e">
        <f>(HLOOKUP($AI15,'Inflation Adjustments'!$B$3:$BT$4,2,TRUE))*CQ15</f>
        <v>#N/A</v>
      </c>
      <c r="DC15" s="325" t="e">
        <f t="shared" si="34"/>
        <v>#N/A</v>
      </c>
      <c r="DD15" s="326">
        <f t="shared" si="15"/>
        <v>2022</v>
      </c>
      <c r="DE15" s="323" t="e">
        <f t="shared" si="16"/>
        <v>#N/A</v>
      </c>
      <c r="DF15" s="323" t="e">
        <f t="shared" si="17"/>
        <v>#N/A</v>
      </c>
      <c r="DG15" s="323" t="e">
        <f t="shared" si="18"/>
        <v>#N/A</v>
      </c>
      <c r="DH15" s="323" t="e">
        <f t="shared" si="19"/>
        <v>#N/A</v>
      </c>
      <c r="DI15" s="323" t="e">
        <f t="shared" si="20"/>
        <v>#N/A</v>
      </c>
      <c r="DJ15" s="323" t="e">
        <f t="shared" si="21"/>
        <v>#N/A</v>
      </c>
      <c r="DK15" s="323" t="e">
        <f t="shared" si="22"/>
        <v>#N/A</v>
      </c>
      <c r="DL15" s="323" t="e">
        <f t="shared" si="22"/>
        <v>#N/A</v>
      </c>
      <c r="DM15" s="323" t="e">
        <f t="shared" si="23"/>
        <v>#N/A</v>
      </c>
      <c r="DN15" s="323" t="e">
        <f t="shared" si="24"/>
        <v>#N/A</v>
      </c>
      <c r="DO15" s="327" t="e">
        <f t="shared" si="25"/>
        <v>#N/A</v>
      </c>
      <c r="DP15" s="327" t="e">
        <f t="shared" si="25"/>
        <v>#N/A</v>
      </c>
      <c r="DQ15" s="327" t="e">
        <f t="shared" si="25"/>
        <v>#N/A</v>
      </c>
      <c r="DR15" s="327" t="e">
        <f t="shared" si="25"/>
        <v>#N/A</v>
      </c>
      <c r="DS15" s="327" t="e">
        <f t="shared" si="25"/>
        <v>#N/A</v>
      </c>
      <c r="DT15" s="327" t="e">
        <f t="shared" si="25"/>
        <v>#N/A</v>
      </c>
      <c r="DU15" s="327" t="e">
        <f t="shared" si="25"/>
        <v>#N/A</v>
      </c>
      <c r="DV15" s="327" t="e">
        <f t="shared" si="25"/>
        <v>#N/A</v>
      </c>
      <c r="DW15" s="327" t="e">
        <f t="shared" si="25"/>
        <v>#N/A</v>
      </c>
      <c r="DX15" s="327" t="e">
        <f t="shared" si="25"/>
        <v>#N/A</v>
      </c>
      <c r="DY15" s="327" t="e">
        <f t="shared" si="35"/>
        <v>#N/A</v>
      </c>
      <c r="DZ15" s="323" t="e">
        <f t="shared" si="26"/>
        <v>#N/A</v>
      </c>
      <c r="EA15" s="323" t="e">
        <f t="shared" si="26"/>
        <v>#N/A</v>
      </c>
      <c r="EB15" s="323" t="e">
        <f t="shared" si="26"/>
        <v>#N/A</v>
      </c>
      <c r="EC15" s="323" t="e">
        <f t="shared" si="26"/>
        <v>#N/A</v>
      </c>
      <c r="ED15" s="323" t="e">
        <f t="shared" si="26"/>
        <v>#N/A</v>
      </c>
      <c r="EE15" s="323" t="e">
        <f t="shared" si="26"/>
        <v>#N/A</v>
      </c>
      <c r="EF15" s="323" t="e">
        <f t="shared" si="26"/>
        <v>#N/A</v>
      </c>
      <c r="EG15" s="323" t="e">
        <f t="shared" si="26"/>
        <v>#N/A</v>
      </c>
      <c r="EH15" s="323" t="e">
        <f t="shared" si="26"/>
        <v>#N/A</v>
      </c>
      <c r="EI15" s="323" t="e">
        <f t="shared" si="26"/>
        <v>#N/A</v>
      </c>
      <c r="EJ15" s="324" t="e">
        <f t="shared" si="36"/>
        <v>#N/A</v>
      </c>
      <c r="EK15" s="327" t="e">
        <f t="shared" si="27"/>
        <v>#N/A</v>
      </c>
      <c r="EL15" s="327" t="e">
        <f t="shared" si="27"/>
        <v>#N/A</v>
      </c>
      <c r="EM15" s="327" t="e">
        <f t="shared" si="27"/>
        <v>#N/A</v>
      </c>
      <c r="EN15" s="327" t="e">
        <f t="shared" si="27"/>
        <v>#N/A</v>
      </c>
      <c r="EO15" s="327" t="e">
        <f t="shared" si="27"/>
        <v>#N/A</v>
      </c>
      <c r="EP15" s="327" t="e">
        <f t="shared" si="27"/>
        <v>#N/A</v>
      </c>
      <c r="EQ15" s="327" t="e">
        <f t="shared" si="27"/>
        <v>#N/A</v>
      </c>
      <c r="ER15" s="327" t="e">
        <f t="shared" si="27"/>
        <v>#N/A</v>
      </c>
      <c r="ES15" s="327" t="e">
        <f t="shared" si="27"/>
        <v>#N/A</v>
      </c>
      <c r="ET15" s="327" t="e">
        <f t="shared" si="27"/>
        <v>#N/A</v>
      </c>
      <c r="EU15" s="325" t="e">
        <f t="shared" si="37"/>
        <v>#N/A</v>
      </c>
      <c r="EV15" s="336"/>
      <c r="EW15" s="336"/>
      <c r="EX15" s="336"/>
      <c r="EY15" s="336"/>
      <c r="EZ15" s="336"/>
      <c r="FA15" s="336"/>
      <c r="FB15" s="336"/>
    </row>
    <row r="16" spans="1:165" ht="41.5" customHeight="1" x14ac:dyDescent="0.3">
      <c r="A16" s="330"/>
      <c r="B16" s="318"/>
      <c r="C16" s="318"/>
      <c r="D16" s="318"/>
      <c r="E16" s="318"/>
      <c r="F16" s="318"/>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18"/>
      <c r="AM16" s="317"/>
      <c r="AN16" s="317"/>
      <c r="AO16" s="317"/>
      <c r="AP16" s="317"/>
      <c r="AQ16" s="317"/>
      <c r="AR16" s="317"/>
      <c r="AS16" s="317"/>
      <c r="AT16" s="317"/>
      <c r="AU16" s="318"/>
      <c r="AV16" s="318"/>
      <c r="AW16" s="318"/>
      <c r="AX16" s="318"/>
      <c r="AY16" s="318"/>
      <c r="AZ16" s="318"/>
      <c r="BA16" s="318"/>
      <c r="BB16" s="318"/>
      <c r="BC16" s="318"/>
      <c r="BD16" s="318"/>
      <c r="BE16" s="318"/>
      <c r="BF16" s="318"/>
      <c r="BG16" s="318"/>
      <c r="BH16" s="333"/>
      <c r="BI16" s="333"/>
      <c r="BJ16" s="333"/>
      <c r="BK16" s="333"/>
      <c r="BL16" s="333"/>
      <c r="BM16" s="333"/>
      <c r="BN16" s="333"/>
      <c r="BO16" s="333"/>
      <c r="BP16" s="333"/>
      <c r="BQ16" s="333"/>
      <c r="BR16" s="333"/>
      <c r="BS16" s="333"/>
      <c r="BT16" s="334"/>
      <c r="BU16" s="335"/>
      <c r="BV16" s="255"/>
      <c r="CH16" s="323" t="e">
        <f t="shared" si="5"/>
        <v>#N/A</v>
      </c>
      <c r="CI16" s="323" t="e">
        <f t="shared" si="6"/>
        <v>#N/A</v>
      </c>
      <c r="CJ16" s="323" t="e">
        <f t="shared" si="7"/>
        <v>#N/A</v>
      </c>
      <c r="CK16" s="323" t="e">
        <f t="shared" si="8"/>
        <v>#N/A</v>
      </c>
      <c r="CL16" s="323" t="e">
        <f t="shared" si="9"/>
        <v>#N/A</v>
      </c>
      <c r="CM16" s="323" t="e">
        <f t="shared" si="10"/>
        <v>#N/A</v>
      </c>
      <c r="CN16" s="323" t="e">
        <f t="shared" si="11"/>
        <v>#N/A</v>
      </c>
      <c r="CO16" s="323" t="e">
        <f t="shared" si="12"/>
        <v>#N/A</v>
      </c>
      <c r="CP16" s="323" t="e">
        <f t="shared" si="13"/>
        <v>#N/A</v>
      </c>
      <c r="CQ16" s="323" t="e">
        <f t="shared" si="14"/>
        <v>#N/A</v>
      </c>
      <c r="CR16" s="324" t="e">
        <f t="shared" si="33"/>
        <v>#N/A</v>
      </c>
      <c r="CS16" s="325" t="e">
        <f>(HLOOKUP($AI16,'Inflation Adjustments'!$B$3:$BT$4,2,TRUE))*CH16</f>
        <v>#N/A</v>
      </c>
      <c r="CT16" s="325" t="e">
        <f>(HLOOKUP($AI16,'Inflation Adjustments'!$B$3:$BT$4,2,TRUE))*CI16</f>
        <v>#N/A</v>
      </c>
      <c r="CU16" s="325" t="e">
        <f>(HLOOKUP($AI16,'Inflation Adjustments'!$B$3:$BT$4,2,TRUE))*CJ16</f>
        <v>#N/A</v>
      </c>
      <c r="CV16" s="325" t="e">
        <f>(HLOOKUP($AI16,'Inflation Adjustments'!$B$3:$BT$4,2,TRUE))*CK16</f>
        <v>#N/A</v>
      </c>
      <c r="CW16" s="325" t="e">
        <f>(HLOOKUP($AI16,'Inflation Adjustments'!$B$3:$BT$4,2,TRUE))*CL16</f>
        <v>#N/A</v>
      </c>
      <c r="CX16" s="325" t="e">
        <f>(HLOOKUP($AI16,'Inflation Adjustments'!$B$3:$BT$4,2,TRUE))*CM16</f>
        <v>#N/A</v>
      </c>
      <c r="CY16" s="325" t="e">
        <f>(HLOOKUP($AI16,'Inflation Adjustments'!$B$3:$BT$4,2,TRUE))*CN16</f>
        <v>#N/A</v>
      </c>
      <c r="CZ16" s="325" t="e">
        <f>(HLOOKUP($AI16,'Inflation Adjustments'!$B$3:$BT$4,2,TRUE))*CO16</f>
        <v>#N/A</v>
      </c>
      <c r="DA16" s="325" t="e">
        <f>(HLOOKUP($AI16,'Inflation Adjustments'!$B$3:$BT$4,2,TRUE))*CP16</f>
        <v>#N/A</v>
      </c>
      <c r="DB16" s="325" t="e">
        <f>(HLOOKUP($AI16,'Inflation Adjustments'!$B$3:$BT$4,2,TRUE))*CQ16</f>
        <v>#N/A</v>
      </c>
      <c r="DC16" s="325" t="e">
        <f t="shared" si="34"/>
        <v>#N/A</v>
      </c>
      <c r="DD16" s="326">
        <f t="shared" si="15"/>
        <v>2022</v>
      </c>
      <c r="DE16" s="323" t="e">
        <f t="shared" si="16"/>
        <v>#N/A</v>
      </c>
      <c r="DF16" s="323" t="e">
        <f t="shared" si="17"/>
        <v>#N/A</v>
      </c>
      <c r="DG16" s="323" t="e">
        <f t="shared" si="18"/>
        <v>#N/A</v>
      </c>
      <c r="DH16" s="323" t="e">
        <f t="shared" si="19"/>
        <v>#N/A</v>
      </c>
      <c r="DI16" s="323" t="e">
        <f t="shared" si="20"/>
        <v>#N/A</v>
      </c>
      <c r="DJ16" s="323" t="e">
        <f t="shared" si="21"/>
        <v>#N/A</v>
      </c>
      <c r="DK16" s="323" t="e">
        <f t="shared" si="22"/>
        <v>#N/A</v>
      </c>
      <c r="DL16" s="323" t="e">
        <f t="shared" si="22"/>
        <v>#N/A</v>
      </c>
      <c r="DM16" s="323" t="e">
        <f t="shared" si="23"/>
        <v>#N/A</v>
      </c>
      <c r="DN16" s="323" t="e">
        <f t="shared" si="24"/>
        <v>#N/A</v>
      </c>
      <c r="DO16" s="327" t="e">
        <f t="shared" si="25"/>
        <v>#N/A</v>
      </c>
      <c r="DP16" s="327" t="e">
        <f t="shared" si="25"/>
        <v>#N/A</v>
      </c>
      <c r="DQ16" s="327" t="e">
        <f t="shared" si="25"/>
        <v>#N/A</v>
      </c>
      <c r="DR16" s="327" t="e">
        <f t="shared" si="25"/>
        <v>#N/A</v>
      </c>
      <c r="DS16" s="327" t="e">
        <f t="shared" si="25"/>
        <v>#N/A</v>
      </c>
      <c r="DT16" s="327" t="e">
        <f t="shared" si="25"/>
        <v>#N/A</v>
      </c>
      <c r="DU16" s="327" t="e">
        <f t="shared" si="25"/>
        <v>#N/A</v>
      </c>
      <c r="DV16" s="327" t="e">
        <f t="shared" si="25"/>
        <v>#N/A</v>
      </c>
      <c r="DW16" s="327" t="e">
        <f t="shared" si="25"/>
        <v>#N/A</v>
      </c>
      <c r="DX16" s="327" t="e">
        <f t="shared" si="25"/>
        <v>#N/A</v>
      </c>
      <c r="DY16" s="327" t="e">
        <f t="shared" si="35"/>
        <v>#N/A</v>
      </c>
      <c r="DZ16" s="323" t="e">
        <f t="shared" si="26"/>
        <v>#N/A</v>
      </c>
      <c r="EA16" s="323" t="e">
        <f t="shared" si="26"/>
        <v>#N/A</v>
      </c>
      <c r="EB16" s="323" t="e">
        <f t="shared" si="26"/>
        <v>#N/A</v>
      </c>
      <c r="EC16" s="323" t="e">
        <f t="shared" si="26"/>
        <v>#N/A</v>
      </c>
      <c r="ED16" s="323" t="e">
        <f t="shared" si="26"/>
        <v>#N/A</v>
      </c>
      <c r="EE16" s="323" t="e">
        <f t="shared" si="26"/>
        <v>#N/A</v>
      </c>
      <c r="EF16" s="323" t="e">
        <f t="shared" si="26"/>
        <v>#N/A</v>
      </c>
      <c r="EG16" s="323" t="e">
        <f t="shared" si="26"/>
        <v>#N/A</v>
      </c>
      <c r="EH16" s="323" t="e">
        <f t="shared" si="26"/>
        <v>#N/A</v>
      </c>
      <c r="EI16" s="323" t="e">
        <f t="shared" si="26"/>
        <v>#N/A</v>
      </c>
      <c r="EJ16" s="324" t="e">
        <f t="shared" si="36"/>
        <v>#N/A</v>
      </c>
      <c r="EK16" s="327" t="e">
        <f t="shared" si="27"/>
        <v>#N/A</v>
      </c>
      <c r="EL16" s="327" t="e">
        <f t="shared" si="27"/>
        <v>#N/A</v>
      </c>
      <c r="EM16" s="327" t="e">
        <f t="shared" si="27"/>
        <v>#N/A</v>
      </c>
      <c r="EN16" s="327" t="e">
        <f t="shared" si="27"/>
        <v>#N/A</v>
      </c>
      <c r="EO16" s="327" t="e">
        <f t="shared" si="27"/>
        <v>#N/A</v>
      </c>
      <c r="EP16" s="327" t="e">
        <f t="shared" si="27"/>
        <v>#N/A</v>
      </c>
      <c r="EQ16" s="327" t="e">
        <f t="shared" si="27"/>
        <v>#N/A</v>
      </c>
      <c r="ER16" s="327" t="e">
        <f t="shared" si="27"/>
        <v>#N/A</v>
      </c>
      <c r="ES16" s="327" t="e">
        <f t="shared" si="27"/>
        <v>#N/A</v>
      </c>
      <c r="ET16" s="327" t="e">
        <f t="shared" si="27"/>
        <v>#N/A</v>
      </c>
      <c r="EU16" s="325" t="e">
        <f t="shared" si="37"/>
        <v>#N/A</v>
      </c>
      <c r="EV16" s="336"/>
      <c r="EW16" s="336"/>
      <c r="EX16" s="336"/>
      <c r="EY16" s="336"/>
      <c r="EZ16" s="336"/>
      <c r="FA16" s="336"/>
      <c r="FB16" s="336"/>
    </row>
    <row r="17" spans="1:158" ht="41.5" customHeight="1" x14ac:dyDescent="0.3">
      <c r="A17" s="330"/>
      <c r="B17" s="318"/>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7"/>
      <c r="AN17" s="317"/>
      <c r="AO17" s="317"/>
      <c r="AP17" s="317"/>
      <c r="AQ17" s="317"/>
      <c r="AR17" s="317"/>
      <c r="AS17" s="317"/>
      <c r="AT17" s="317"/>
      <c r="AU17" s="318"/>
      <c r="AV17" s="318"/>
      <c r="AW17" s="318"/>
      <c r="AX17" s="318"/>
      <c r="AY17" s="318"/>
      <c r="AZ17" s="318"/>
      <c r="BA17" s="318"/>
      <c r="BB17" s="318"/>
      <c r="BC17" s="318"/>
      <c r="BD17" s="318"/>
      <c r="BE17" s="318"/>
      <c r="BF17" s="318"/>
      <c r="BG17" s="318"/>
      <c r="BH17" s="333"/>
      <c r="BI17" s="333"/>
      <c r="BJ17" s="333"/>
      <c r="BK17" s="333"/>
      <c r="BL17" s="333"/>
      <c r="BM17" s="333"/>
      <c r="BN17" s="333"/>
      <c r="BO17" s="333"/>
      <c r="BP17" s="333"/>
      <c r="BQ17" s="333"/>
      <c r="BR17" s="333"/>
      <c r="BS17" s="333"/>
      <c r="BT17" s="334"/>
      <c r="BU17" s="335"/>
      <c r="BV17" s="255"/>
      <c r="CH17" s="323" t="e">
        <f t="shared" si="5"/>
        <v>#N/A</v>
      </c>
      <c r="CI17" s="323" t="e">
        <f t="shared" si="6"/>
        <v>#N/A</v>
      </c>
      <c r="CJ17" s="323" t="e">
        <f t="shared" si="7"/>
        <v>#N/A</v>
      </c>
      <c r="CK17" s="323" t="e">
        <f t="shared" si="8"/>
        <v>#N/A</v>
      </c>
      <c r="CL17" s="323" t="e">
        <f t="shared" si="9"/>
        <v>#N/A</v>
      </c>
      <c r="CM17" s="323" t="e">
        <f t="shared" si="10"/>
        <v>#N/A</v>
      </c>
      <c r="CN17" s="323" t="e">
        <f t="shared" si="11"/>
        <v>#N/A</v>
      </c>
      <c r="CO17" s="323" t="e">
        <f t="shared" si="12"/>
        <v>#N/A</v>
      </c>
      <c r="CP17" s="323" t="e">
        <f t="shared" si="13"/>
        <v>#N/A</v>
      </c>
      <c r="CQ17" s="323" t="e">
        <f t="shared" si="14"/>
        <v>#N/A</v>
      </c>
      <c r="CR17" s="324" t="e">
        <f t="shared" si="33"/>
        <v>#N/A</v>
      </c>
      <c r="CS17" s="325" t="e">
        <f>(HLOOKUP($AI17,'Inflation Adjustments'!$B$3:$BT$4,2,TRUE))*CH17</f>
        <v>#N/A</v>
      </c>
      <c r="CT17" s="325" t="e">
        <f>(HLOOKUP($AI17,'Inflation Adjustments'!$B$3:$BT$4,2,TRUE))*CI17</f>
        <v>#N/A</v>
      </c>
      <c r="CU17" s="325" t="e">
        <f>(HLOOKUP($AI17,'Inflation Adjustments'!$B$3:$BT$4,2,TRUE))*CJ17</f>
        <v>#N/A</v>
      </c>
      <c r="CV17" s="325" t="e">
        <f>(HLOOKUP($AI17,'Inflation Adjustments'!$B$3:$BT$4,2,TRUE))*CK17</f>
        <v>#N/A</v>
      </c>
      <c r="CW17" s="325" t="e">
        <f>(HLOOKUP($AI17,'Inflation Adjustments'!$B$3:$BT$4,2,TRUE))*CL17</f>
        <v>#N/A</v>
      </c>
      <c r="CX17" s="325" t="e">
        <f>(HLOOKUP($AI17,'Inflation Adjustments'!$B$3:$BT$4,2,TRUE))*CM17</f>
        <v>#N/A</v>
      </c>
      <c r="CY17" s="325" t="e">
        <f>(HLOOKUP($AI17,'Inflation Adjustments'!$B$3:$BT$4,2,TRUE))*CN17</f>
        <v>#N/A</v>
      </c>
      <c r="CZ17" s="325" t="e">
        <f>(HLOOKUP($AI17,'Inflation Adjustments'!$B$3:$BT$4,2,TRUE))*CO17</f>
        <v>#N/A</v>
      </c>
      <c r="DA17" s="325" t="e">
        <f>(HLOOKUP($AI17,'Inflation Adjustments'!$B$3:$BT$4,2,TRUE))*CP17</f>
        <v>#N/A</v>
      </c>
      <c r="DB17" s="325" t="e">
        <f>(HLOOKUP($AI17,'Inflation Adjustments'!$B$3:$BT$4,2,TRUE))*CQ17</f>
        <v>#N/A</v>
      </c>
      <c r="DC17" s="325" t="e">
        <f t="shared" si="34"/>
        <v>#N/A</v>
      </c>
      <c r="DD17" s="326">
        <f t="shared" si="15"/>
        <v>2022</v>
      </c>
      <c r="DE17" s="323" t="e">
        <f t="shared" si="16"/>
        <v>#N/A</v>
      </c>
      <c r="DF17" s="323" t="e">
        <f t="shared" si="17"/>
        <v>#N/A</v>
      </c>
      <c r="DG17" s="323" t="e">
        <f t="shared" si="18"/>
        <v>#N/A</v>
      </c>
      <c r="DH17" s="323" t="e">
        <f t="shared" si="19"/>
        <v>#N/A</v>
      </c>
      <c r="DI17" s="323" t="e">
        <f t="shared" si="20"/>
        <v>#N/A</v>
      </c>
      <c r="DJ17" s="323" t="e">
        <f t="shared" si="21"/>
        <v>#N/A</v>
      </c>
      <c r="DK17" s="323" t="e">
        <f t="shared" si="22"/>
        <v>#N/A</v>
      </c>
      <c r="DL17" s="323" t="e">
        <f t="shared" si="22"/>
        <v>#N/A</v>
      </c>
      <c r="DM17" s="323" t="e">
        <f t="shared" si="23"/>
        <v>#N/A</v>
      </c>
      <c r="DN17" s="323" t="e">
        <f t="shared" si="24"/>
        <v>#N/A</v>
      </c>
      <c r="DO17" s="327" t="e">
        <f t="shared" si="25"/>
        <v>#N/A</v>
      </c>
      <c r="DP17" s="327" t="e">
        <f t="shared" si="25"/>
        <v>#N/A</v>
      </c>
      <c r="DQ17" s="327" t="e">
        <f t="shared" si="25"/>
        <v>#N/A</v>
      </c>
      <c r="DR17" s="327" t="e">
        <f t="shared" si="25"/>
        <v>#N/A</v>
      </c>
      <c r="DS17" s="327" t="e">
        <f t="shared" si="25"/>
        <v>#N/A</v>
      </c>
      <c r="DT17" s="327" t="e">
        <f t="shared" si="25"/>
        <v>#N/A</v>
      </c>
      <c r="DU17" s="327" t="e">
        <f t="shared" si="25"/>
        <v>#N/A</v>
      </c>
      <c r="DV17" s="327" t="e">
        <f t="shared" si="25"/>
        <v>#N/A</v>
      </c>
      <c r="DW17" s="327" t="e">
        <f t="shared" si="25"/>
        <v>#N/A</v>
      </c>
      <c r="DX17" s="327" t="e">
        <f t="shared" si="25"/>
        <v>#N/A</v>
      </c>
      <c r="DY17" s="327" t="e">
        <f t="shared" si="35"/>
        <v>#N/A</v>
      </c>
      <c r="DZ17" s="323" t="e">
        <f t="shared" si="26"/>
        <v>#N/A</v>
      </c>
      <c r="EA17" s="323" t="e">
        <f t="shared" si="26"/>
        <v>#N/A</v>
      </c>
      <c r="EB17" s="323" t="e">
        <f t="shared" si="26"/>
        <v>#N/A</v>
      </c>
      <c r="EC17" s="323" t="e">
        <f t="shared" si="26"/>
        <v>#N/A</v>
      </c>
      <c r="ED17" s="323" t="e">
        <f t="shared" si="26"/>
        <v>#N/A</v>
      </c>
      <c r="EE17" s="323" t="e">
        <f t="shared" si="26"/>
        <v>#N/A</v>
      </c>
      <c r="EF17" s="323" t="e">
        <f t="shared" si="26"/>
        <v>#N/A</v>
      </c>
      <c r="EG17" s="323" t="e">
        <f t="shared" si="26"/>
        <v>#N/A</v>
      </c>
      <c r="EH17" s="323" t="e">
        <f t="shared" si="26"/>
        <v>#N/A</v>
      </c>
      <c r="EI17" s="323" t="e">
        <f t="shared" si="26"/>
        <v>#N/A</v>
      </c>
      <c r="EJ17" s="324" t="e">
        <f t="shared" si="36"/>
        <v>#N/A</v>
      </c>
      <c r="EK17" s="327" t="e">
        <f t="shared" si="27"/>
        <v>#N/A</v>
      </c>
      <c r="EL17" s="327" t="e">
        <f t="shared" si="27"/>
        <v>#N/A</v>
      </c>
      <c r="EM17" s="327" t="e">
        <f t="shared" si="27"/>
        <v>#N/A</v>
      </c>
      <c r="EN17" s="327" t="e">
        <f t="shared" si="27"/>
        <v>#N/A</v>
      </c>
      <c r="EO17" s="327" t="e">
        <f t="shared" si="27"/>
        <v>#N/A</v>
      </c>
      <c r="EP17" s="327" t="e">
        <f t="shared" si="27"/>
        <v>#N/A</v>
      </c>
      <c r="EQ17" s="327" t="e">
        <f t="shared" si="27"/>
        <v>#N/A</v>
      </c>
      <c r="ER17" s="327" t="e">
        <f t="shared" si="27"/>
        <v>#N/A</v>
      </c>
      <c r="ES17" s="327" t="e">
        <f t="shared" si="27"/>
        <v>#N/A</v>
      </c>
      <c r="ET17" s="327" t="e">
        <f t="shared" si="27"/>
        <v>#N/A</v>
      </c>
      <c r="EU17" s="325" t="e">
        <f t="shared" si="37"/>
        <v>#N/A</v>
      </c>
      <c r="EV17" s="336"/>
      <c r="EW17" s="336"/>
      <c r="EX17" s="336"/>
      <c r="EY17" s="336"/>
      <c r="EZ17" s="336"/>
      <c r="FA17" s="336"/>
      <c r="FB17" s="336"/>
    </row>
    <row r="18" spans="1:158" ht="41.5" customHeight="1" x14ac:dyDescent="0.3">
      <c r="A18" s="330"/>
      <c r="B18" s="318"/>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7"/>
      <c r="AN18" s="317"/>
      <c r="AO18" s="317"/>
      <c r="AP18" s="317"/>
      <c r="AQ18" s="317"/>
      <c r="AR18" s="317"/>
      <c r="AS18" s="317"/>
      <c r="AT18" s="317"/>
      <c r="AU18" s="318"/>
      <c r="AV18" s="318"/>
      <c r="AW18" s="318"/>
      <c r="AX18" s="318"/>
      <c r="AY18" s="318"/>
      <c r="AZ18" s="318"/>
      <c r="BA18" s="318"/>
      <c r="BB18" s="318"/>
      <c r="BC18" s="318"/>
      <c r="BD18" s="318"/>
      <c r="BE18" s="318"/>
      <c r="BF18" s="318"/>
      <c r="BG18" s="318"/>
      <c r="BH18" s="333"/>
      <c r="BI18" s="333"/>
      <c r="BJ18" s="333"/>
      <c r="BK18" s="333"/>
      <c r="BL18" s="333"/>
      <c r="BM18" s="333"/>
      <c r="BN18" s="333"/>
      <c r="BO18" s="333"/>
      <c r="BP18" s="333"/>
      <c r="BQ18" s="333"/>
      <c r="BR18" s="333"/>
      <c r="BS18" s="333"/>
      <c r="BT18" s="334"/>
      <c r="BU18" s="335"/>
      <c r="BV18" s="255"/>
      <c r="CH18" s="323" t="e">
        <f t="shared" si="5"/>
        <v>#N/A</v>
      </c>
      <c r="CI18" s="323" t="e">
        <f t="shared" si="6"/>
        <v>#N/A</v>
      </c>
      <c r="CJ18" s="323" t="e">
        <f t="shared" si="7"/>
        <v>#N/A</v>
      </c>
      <c r="CK18" s="323" t="e">
        <f t="shared" si="8"/>
        <v>#N/A</v>
      </c>
      <c r="CL18" s="323" t="e">
        <f t="shared" si="9"/>
        <v>#N/A</v>
      </c>
      <c r="CM18" s="323" t="e">
        <f t="shared" si="10"/>
        <v>#N/A</v>
      </c>
      <c r="CN18" s="323" t="e">
        <f t="shared" si="11"/>
        <v>#N/A</v>
      </c>
      <c r="CO18" s="323" t="e">
        <f t="shared" si="12"/>
        <v>#N/A</v>
      </c>
      <c r="CP18" s="323" t="e">
        <f t="shared" si="13"/>
        <v>#N/A</v>
      </c>
      <c r="CQ18" s="323" t="e">
        <f t="shared" si="14"/>
        <v>#N/A</v>
      </c>
      <c r="CR18" s="324" t="e">
        <f t="shared" si="33"/>
        <v>#N/A</v>
      </c>
      <c r="CS18" s="325" t="e">
        <f>(HLOOKUP($AI18,'Inflation Adjustments'!$B$3:$BT$4,2,TRUE))*CH18</f>
        <v>#N/A</v>
      </c>
      <c r="CT18" s="325" t="e">
        <f>(HLOOKUP($AI18,'Inflation Adjustments'!$B$3:$BT$4,2,TRUE))*CI18</f>
        <v>#N/A</v>
      </c>
      <c r="CU18" s="325" t="e">
        <f>(HLOOKUP($AI18,'Inflation Adjustments'!$B$3:$BT$4,2,TRUE))*CJ18</f>
        <v>#N/A</v>
      </c>
      <c r="CV18" s="325" t="e">
        <f>(HLOOKUP($AI18,'Inflation Adjustments'!$B$3:$BT$4,2,TRUE))*CK18</f>
        <v>#N/A</v>
      </c>
      <c r="CW18" s="325" t="e">
        <f>(HLOOKUP($AI18,'Inflation Adjustments'!$B$3:$BT$4,2,TRUE))*CL18</f>
        <v>#N/A</v>
      </c>
      <c r="CX18" s="325" t="e">
        <f>(HLOOKUP($AI18,'Inflation Adjustments'!$B$3:$BT$4,2,TRUE))*CM18</f>
        <v>#N/A</v>
      </c>
      <c r="CY18" s="325" t="e">
        <f>(HLOOKUP($AI18,'Inflation Adjustments'!$B$3:$BT$4,2,TRUE))*CN18</f>
        <v>#N/A</v>
      </c>
      <c r="CZ18" s="325" t="e">
        <f>(HLOOKUP($AI18,'Inflation Adjustments'!$B$3:$BT$4,2,TRUE))*CO18</f>
        <v>#N/A</v>
      </c>
      <c r="DA18" s="325" t="e">
        <f>(HLOOKUP($AI18,'Inflation Adjustments'!$B$3:$BT$4,2,TRUE))*CP18</f>
        <v>#N/A</v>
      </c>
      <c r="DB18" s="325" t="e">
        <f>(HLOOKUP($AI18,'Inflation Adjustments'!$B$3:$BT$4,2,TRUE))*CQ18</f>
        <v>#N/A</v>
      </c>
      <c r="DC18" s="325" t="e">
        <f t="shared" si="34"/>
        <v>#N/A</v>
      </c>
      <c r="DD18" s="326">
        <f t="shared" si="15"/>
        <v>2022</v>
      </c>
      <c r="DE18" s="323" t="e">
        <f t="shared" si="16"/>
        <v>#N/A</v>
      </c>
      <c r="DF18" s="323" t="e">
        <f t="shared" si="17"/>
        <v>#N/A</v>
      </c>
      <c r="DG18" s="323" t="e">
        <f t="shared" si="18"/>
        <v>#N/A</v>
      </c>
      <c r="DH18" s="323" t="e">
        <f t="shared" si="19"/>
        <v>#N/A</v>
      </c>
      <c r="DI18" s="323" t="e">
        <f t="shared" si="20"/>
        <v>#N/A</v>
      </c>
      <c r="DJ18" s="323" t="e">
        <f t="shared" si="21"/>
        <v>#N/A</v>
      </c>
      <c r="DK18" s="323" t="e">
        <f t="shared" si="22"/>
        <v>#N/A</v>
      </c>
      <c r="DL18" s="323" t="e">
        <f t="shared" si="22"/>
        <v>#N/A</v>
      </c>
      <c r="DM18" s="323" t="e">
        <f t="shared" si="23"/>
        <v>#N/A</v>
      </c>
      <c r="DN18" s="323" t="e">
        <f t="shared" si="24"/>
        <v>#N/A</v>
      </c>
      <c r="DO18" s="327" t="e">
        <f t="shared" si="25"/>
        <v>#N/A</v>
      </c>
      <c r="DP18" s="327" t="e">
        <f t="shared" si="25"/>
        <v>#N/A</v>
      </c>
      <c r="DQ18" s="327" t="e">
        <f t="shared" si="25"/>
        <v>#N/A</v>
      </c>
      <c r="DR18" s="327" t="e">
        <f t="shared" si="25"/>
        <v>#N/A</v>
      </c>
      <c r="DS18" s="327" t="e">
        <f t="shared" si="25"/>
        <v>#N/A</v>
      </c>
      <c r="DT18" s="327" t="e">
        <f t="shared" si="25"/>
        <v>#N/A</v>
      </c>
      <c r="DU18" s="327" t="e">
        <f t="shared" si="25"/>
        <v>#N/A</v>
      </c>
      <c r="DV18" s="327" t="e">
        <f t="shared" si="25"/>
        <v>#N/A</v>
      </c>
      <c r="DW18" s="327" t="e">
        <f t="shared" si="25"/>
        <v>#N/A</v>
      </c>
      <c r="DX18" s="327" t="e">
        <f t="shared" si="25"/>
        <v>#N/A</v>
      </c>
      <c r="DY18" s="327" t="e">
        <f t="shared" si="35"/>
        <v>#N/A</v>
      </c>
      <c r="DZ18" s="323" t="e">
        <f t="shared" si="26"/>
        <v>#N/A</v>
      </c>
      <c r="EA18" s="323" t="e">
        <f t="shared" si="26"/>
        <v>#N/A</v>
      </c>
      <c r="EB18" s="323" t="e">
        <f t="shared" si="26"/>
        <v>#N/A</v>
      </c>
      <c r="EC18" s="323" t="e">
        <f t="shared" si="26"/>
        <v>#N/A</v>
      </c>
      <c r="ED18" s="323" t="e">
        <f t="shared" si="26"/>
        <v>#N/A</v>
      </c>
      <c r="EE18" s="323" t="e">
        <f t="shared" si="26"/>
        <v>#N/A</v>
      </c>
      <c r="EF18" s="323" t="e">
        <f t="shared" si="26"/>
        <v>#N/A</v>
      </c>
      <c r="EG18" s="323" t="e">
        <f t="shared" si="26"/>
        <v>#N/A</v>
      </c>
      <c r="EH18" s="323" t="e">
        <f t="shared" si="26"/>
        <v>#N/A</v>
      </c>
      <c r="EI18" s="323" t="e">
        <f t="shared" si="26"/>
        <v>#N/A</v>
      </c>
      <c r="EJ18" s="324" t="e">
        <f t="shared" si="36"/>
        <v>#N/A</v>
      </c>
      <c r="EK18" s="327" t="e">
        <f t="shared" si="27"/>
        <v>#N/A</v>
      </c>
      <c r="EL18" s="327" t="e">
        <f t="shared" si="27"/>
        <v>#N/A</v>
      </c>
      <c r="EM18" s="327" t="e">
        <f t="shared" si="27"/>
        <v>#N/A</v>
      </c>
      <c r="EN18" s="327" t="e">
        <f t="shared" si="27"/>
        <v>#N/A</v>
      </c>
      <c r="EO18" s="327" t="e">
        <f t="shared" si="27"/>
        <v>#N/A</v>
      </c>
      <c r="EP18" s="327" t="e">
        <f t="shared" si="27"/>
        <v>#N/A</v>
      </c>
      <c r="EQ18" s="327" t="e">
        <f t="shared" si="27"/>
        <v>#N/A</v>
      </c>
      <c r="ER18" s="327" t="e">
        <f t="shared" si="27"/>
        <v>#N/A</v>
      </c>
      <c r="ES18" s="327" t="e">
        <f t="shared" si="27"/>
        <v>#N/A</v>
      </c>
      <c r="ET18" s="327" t="e">
        <f t="shared" si="27"/>
        <v>#N/A</v>
      </c>
      <c r="EU18" s="325" t="e">
        <f t="shared" si="37"/>
        <v>#N/A</v>
      </c>
      <c r="EV18" s="336"/>
      <c r="EW18" s="336"/>
      <c r="EX18" s="336"/>
      <c r="EY18" s="336"/>
      <c r="EZ18" s="336"/>
      <c r="FA18" s="336"/>
      <c r="FB18" s="336"/>
    </row>
    <row r="19" spans="1:158" ht="59.5" customHeight="1" x14ac:dyDescent="0.3">
      <c r="A19" s="330"/>
      <c r="B19" s="318"/>
      <c r="C19" s="318"/>
      <c r="D19" s="318"/>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7"/>
      <c r="AN19" s="317"/>
      <c r="AO19" s="317"/>
      <c r="AP19" s="317"/>
      <c r="AQ19" s="317"/>
      <c r="AR19" s="317"/>
      <c r="AS19" s="317"/>
      <c r="AT19" s="317"/>
      <c r="AU19" s="318"/>
      <c r="AV19" s="318"/>
      <c r="AW19" s="318"/>
      <c r="AX19" s="318"/>
      <c r="AY19" s="318"/>
      <c r="AZ19" s="318"/>
      <c r="BA19" s="318"/>
      <c r="BB19" s="318"/>
      <c r="BC19" s="318"/>
      <c r="BD19" s="318"/>
      <c r="BE19" s="318"/>
      <c r="BF19" s="318"/>
      <c r="BG19" s="318"/>
      <c r="BH19" s="333"/>
      <c r="BI19" s="333"/>
      <c r="BJ19" s="333"/>
      <c r="BK19" s="333"/>
      <c r="BL19" s="333"/>
      <c r="BM19" s="333"/>
      <c r="BN19" s="333"/>
      <c r="BO19" s="333"/>
      <c r="BP19" s="333"/>
      <c r="BQ19" s="333"/>
      <c r="BR19" s="333"/>
      <c r="BS19" s="333"/>
      <c r="BT19" s="334"/>
      <c r="BU19" s="335"/>
      <c r="BV19" s="255"/>
      <c r="CH19" s="323" t="e">
        <f t="shared" si="5"/>
        <v>#N/A</v>
      </c>
      <c r="CI19" s="323" t="e">
        <f t="shared" si="6"/>
        <v>#N/A</v>
      </c>
      <c r="CJ19" s="323" t="e">
        <f t="shared" si="7"/>
        <v>#N/A</v>
      </c>
      <c r="CK19" s="323" t="e">
        <f t="shared" si="8"/>
        <v>#N/A</v>
      </c>
      <c r="CL19" s="323" t="e">
        <f t="shared" si="9"/>
        <v>#N/A</v>
      </c>
      <c r="CM19" s="323" t="e">
        <f t="shared" si="10"/>
        <v>#N/A</v>
      </c>
      <c r="CN19" s="323" t="e">
        <f t="shared" si="11"/>
        <v>#N/A</v>
      </c>
      <c r="CO19" s="323" t="e">
        <f t="shared" si="12"/>
        <v>#N/A</v>
      </c>
      <c r="CP19" s="323" t="e">
        <f t="shared" si="13"/>
        <v>#N/A</v>
      </c>
      <c r="CQ19" s="323" t="e">
        <f t="shared" si="14"/>
        <v>#N/A</v>
      </c>
      <c r="CR19" s="324" t="e">
        <f t="shared" si="33"/>
        <v>#N/A</v>
      </c>
      <c r="CS19" s="325" t="e">
        <f>(HLOOKUP($AI19,'Inflation Adjustments'!$B$3:$BT$4,2,TRUE))*CH19</f>
        <v>#N/A</v>
      </c>
      <c r="CT19" s="325" t="e">
        <f>(HLOOKUP($AI19,'Inflation Adjustments'!$B$3:$BT$4,2,TRUE))*CI19</f>
        <v>#N/A</v>
      </c>
      <c r="CU19" s="325" t="e">
        <f>(HLOOKUP($AI19,'Inflation Adjustments'!$B$3:$BT$4,2,TRUE))*CJ19</f>
        <v>#N/A</v>
      </c>
      <c r="CV19" s="325" t="e">
        <f>(HLOOKUP($AI19,'Inflation Adjustments'!$B$3:$BT$4,2,TRUE))*CK19</f>
        <v>#N/A</v>
      </c>
      <c r="CW19" s="325" t="e">
        <f>(HLOOKUP($AI19,'Inflation Adjustments'!$B$3:$BT$4,2,TRUE))*CL19</f>
        <v>#N/A</v>
      </c>
      <c r="CX19" s="325" t="e">
        <f>(HLOOKUP($AI19,'Inflation Adjustments'!$B$3:$BT$4,2,TRUE))*CM19</f>
        <v>#N/A</v>
      </c>
      <c r="CY19" s="325" t="e">
        <f>(HLOOKUP($AI19,'Inflation Adjustments'!$B$3:$BT$4,2,TRUE))*CN19</f>
        <v>#N/A</v>
      </c>
      <c r="CZ19" s="325" t="e">
        <f>(HLOOKUP($AI19,'Inflation Adjustments'!$B$3:$BT$4,2,TRUE))*CO19</f>
        <v>#N/A</v>
      </c>
      <c r="DA19" s="325" t="e">
        <f>(HLOOKUP($AI19,'Inflation Adjustments'!$B$3:$BT$4,2,TRUE))*CP19</f>
        <v>#N/A</v>
      </c>
      <c r="DB19" s="325" t="e">
        <f>(HLOOKUP($AI19,'Inflation Adjustments'!$B$3:$BT$4,2,TRUE))*CQ19</f>
        <v>#N/A</v>
      </c>
      <c r="DC19" s="325" t="e">
        <f t="shared" si="34"/>
        <v>#N/A</v>
      </c>
      <c r="DD19" s="326">
        <f t="shared" si="15"/>
        <v>2022</v>
      </c>
      <c r="DE19" s="323" t="e">
        <f t="shared" si="16"/>
        <v>#N/A</v>
      </c>
      <c r="DF19" s="323" t="e">
        <f t="shared" si="17"/>
        <v>#N/A</v>
      </c>
      <c r="DG19" s="323" t="e">
        <f t="shared" si="18"/>
        <v>#N/A</v>
      </c>
      <c r="DH19" s="323" t="e">
        <f t="shared" si="19"/>
        <v>#N/A</v>
      </c>
      <c r="DI19" s="323" t="e">
        <f t="shared" si="20"/>
        <v>#N/A</v>
      </c>
      <c r="DJ19" s="323" t="e">
        <f t="shared" si="21"/>
        <v>#N/A</v>
      </c>
      <c r="DK19" s="323" t="e">
        <f t="shared" si="22"/>
        <v>#N/A</v>
      </c>
      <c r="DL19" s="323" t="e">
        <f t="shared" si="22"/>
        <v>#N/A</v>
      </c>
      <c r="DM19" s="323" t="e">
        <f t="shared" si="23"/>
        <v>#N/A</v>
      </c>
      <c r="DN19" s="323" t="e">
        <f t="shared" si="24"/>
        <v>#N/A</v>
      </c>
      <c r="DO19" s="327" t="e">
        <f t="shared" si="25"/>
        <v>#N/A</v>
      </c>
      <c r="DP19" s="327" t="e">
        <f t="shared" si="25"/>
        <v>#N/A</v>
      </c>
      <c r="DQ19" s="327" t="e">
        <f t="shared" si="25"/>
        <v>#N/A</v>
      </c>
      <c r="DR19" s="327" t="e">
        <f t="shared" si="25"/>
        <v>#N/A</v>
      </c>
      <c r="DS19" s="327" t="e">
        <f t="shared" si="25"/>
        <v>#N/A</v>
      </c>
      <c r="DT19" s="327" t="e">
        <f t="shared" si="25"/>
        <v>#N/A</v>
      </c>
      <c r="DU19" s="327" t="e">
        <f t="shared" si="25"/>
        <v>#N/A</v>
      </c>
      <c r="DV19" s="327" t="e">
        <f t="shared" si="25"/>
        <v>#N/A</v>
      </c>
      <c r="DW19" s="327" t="e">
        <f t="shared" si="25"/>
        <v>#N/A</v>
      </c>
      <c r="DX19" s="327" t="e">
        <f t="shared" si="25"/>
        <v>#N/A</v>
      </c>
      <c r="DY19" s="327" t="e">
        <f t="shared" si="35"/>
        <v>#N/A</v>
      </c>
      <c r="DZ19" s="323" t="e">
        <f t="shared" si="26"/>
        <v>#N/A</v>
      </c>
      <c r="EA19" s="323" t="e">
        <f t="shared" si="26"/>
        <v>#N/A</v>
      </c>
      <c r="EB19" s="323" t="e">
        <f t="shared" si="26"/>
        <v>#N/A</v>
      </c>
      <c r="EC19" s="323" t="e">
        <f t="shared" si="26"/>
        <v>#N/A</v>
      </c>
      <c r="ED19" s="323" t="e">
        <f t="shared" si="26"/>
        <v>#N/A</v>
      </c>
      <c r="EE19" s="323" t="e">
        <f t="shared" si="26"/>
        <v>#N/A</v>
      </c>
      <c r="EF19" s="323" t="e">
        <f t="shared" si="26"/>
        <v>#N/A</v>
      </c>
      <c r="EG19" s="323" t="e">
        <f t="shared" si="26"/>
        <v>#N/A</v>
      </c>
      <c r="EH19" s="323" t="e">
        <f t="shared" si="26"/>
        <v>#N/A</v>
      </c>
      <c r="EI19" s="323" t="e">
        <f t="shared" si="26"/>
        <v>#N/A</v>
      </c>
      <c r="EJ19" s="324" t="e">
        <f t="shared" si="36"/>
        <v>#N/A</v>
      </c>
      <c r="EK19" s="327" t="e">
        <f t="shared" si="27"/>
        <v>#N/A</v>
      </c>
      <c r="EL19" s="327" t="e">
        <f t="shared" si="27"/>
        <v>#N/A</v>
      </c>
      <c r="EM19" s="327" t="e">
        <f t="shared" si="27"/>
        <v>#N/A</v>
      </c>
      <c r="EN19" s="327" t="e">
        <f t="shared" si="27"/>
        <v>#N/A</v>
      </c>
      <c r="EO19" s="327" t="e">
        <f t="shared" si="27"/>
        <v>#N/A</v>
      </c>
      <c r="EP19" s="327" t="e">
        <f t="shared" si="27"/>
        <v>#N/A</v>
      </c>
      <c r="EQ19" s="327" t="e">
        <f t="shared" si="27"/>
        <v>#N/A</v>
      </c>
      <c r="ER19" s="327" t="e">
        <f t="shared" si="27"/>
        <v>#N/A</v>
      </c>
      <c r="ES19" s="327" t="e">
        <f t="shared" si="27"/>
        <v>#N/A</v>
      </c>
      <c r="ET19" s="327" t="e">
        <f t="shared" si="27"/>
        <v>#N/A</v>
      </c>
      <c r="EU19" s="325" t="e">
        <f t="shared" si="37"/>
        <v>#N/A</v>
      </c>
      <c r="EV19" s="336"/>
      <c r="EW19" s="336"/>
      <c r="EX19" s="336"/>
      <c r="EY19" s="336"/>
      <c r="EZ19" s="336"/>
      <c r="FA19" s="336"/>
      <c r="FB19" s="336"/>
    </row>
    <row r="20" spans="1:158" ht="59.5" customHeight="1" x14ac:dyDescent="0.3">
      <c r="A20" s="330"/>
      <c r="B20" s="318"/>
      <c r="C20" s="318"/>
      <c r="D20" s="318"/>
      <c r="E20" s="318"/>
      <c r="F20" s="318"/>
      <c r="G20" s="318"/>
      <c r="H20" s="318"/>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18"/>
      <c r="AI20" s="318"/>
      <c r="AJ20" s="318"/>
      <c r="AK20" s="318"/>
      <c r="AL20" s="318"/>
      <c r="AM20" s="388"/>
      <c r="AN20" s="317"/>
      <c r="AO20" s="388"/>
      <c r="AP20" s="388"/>
      <c r="AQ20" s="388"/>
      <c r="AR20" s="388"/>
      <c r="AS20" s="388"/>
      <c r="AT20" s="388"/>
      <c r="AU20" s="318"/>
      <c r="AV20" s="318"/>
      <c r="AW20" s="318"/>
      <c r="AX20" s="318"/>
      <c r="AY20" s="318"/>
      <c r="AZ20" s="318"/>
      <c r="BA20" s="318"/>
      <c r="BB20" s="318"/>
      <c r="BC20" s="318"/>
      <c r="BD20" s="318"/>
      <c r="BE20" s="318"/>
      <c r="BF20" s="318"/>
      <c r="BG20" s="318"/>
      <c r="BH20" s="333"/>
      <c r="BI20" s="333"/>
      <c r="BJ20" s="333"/>
      <c r="BK20" s="333"/>
      <c r="BL20" s="333"/>
      <c r="BM20" s="333"/>
      <c r="BN20" s="333"/>
      <c r="BO20" s="333"/>
      <c r="BP20" s="333"/>
      <c r="BQ20" s="333"/>
      <c r="BR20" s="333"/>
      <c r="BS20" s="333"/>
      <c r="BT20" s="334"/>
      <c r="BU20" s="335"/>
      <c r="BV20" s="255"/>
      <c r="CH20" s="323" t="e">
        <f t="shared" si="5"/>
        <v>#N/A</v>
      </c>
      <c r="CI20" s="323" t="e">
        <f t="shared" si="6"/>
        <v>#N/A</v>
      </c>
      <c r="CJ20" s="323" t="e">
        <f t="shared" si="7"/>
        <v>#N/A</v>
      </c>
      <c r="CK20" s="323" t="e">
        <f t="shared" si="8"/>
        <v>#N/A</v>
      </c>
      <c r="CL20" s="323" t="e">
        <f t="shared" si="9"/>
        <v>#N/A</v>
      </c>
      <c r="CM20" s="323" t="e">
        <f t="shared" si="10"/>
        <v>#N/A</v>
      </c>
      <c r="CN20" s="323" t="e">
        <f t="shared" si="11"/>
        <v>#N/A</v>
      </c>
      <c r="CO20" s="323" t="e">
        <f t="shared" si="12"/>
        <v>#N/A</v>
      </c>
      <c r="CP20" s="323" t="e">
        <f t="shared" si="13"/>
        <v>#N/A</v>
      </c>
      <c r="CQ20" s="323" t="e">
        <f t="shared" si="14"/>
        <v>#N/A</v>
      </c>
      <c r="CR20" s="324" t="e">
        <f t="shared" si="33"/>
        <v>#N/A</v>
      </c>
      <c r="CS20" s="325" t="e">
        <f>(HLOOKUP($AI20,'Inflation Adjustments'!$B$3:$BT$4,2,TRUE))*CH20</f>
        <v>#N/A</v>
      </c>
      <c r="CT20" s="325" t="e">
        <f>(HLOOKUP($AI20,'Inflation Adjustments'!$B$3:$BT$4,2,TRUE))*CI20</f>
        <v>#N/A</v>
      </c>
      <c r="CU20" s="325" t="e">
        <f>(HLOOKUP($AI20,'Inflation Adjustments'!$B$3:$BT$4,2,TRUE))*CJ20</f>
        <v>#N/A</v>
      </c>
      <c r="CV20" s="325" t="e">
        <f>(HLOOKUP($AI20,'Inflation Adjustments'!$B$3:$BT$4,2,TRUE))*CK20</f>
        <v>#N/A</v>
      </c>
      <c r="CW20" s="325" t="e">
        <f>(HLOOKUP($AI20,'Inflation Adjustments'!$B$3:$BT$4,2,TRUE))*CL20</f>
        <v>#N/A</v>
      </c>
      <c r="CX20" s="325" t="e">
        <f>(HLOOKUP($AI20,'Inflation Adjustments'!$B$3:$BT$4,2,TRUE))*CM20</f>
        <v>#N/A</v>
      </c>
      <c r="CY20" s="325" t="e">
        <f>(HLOOKUP($AI20,'Inflation Adjustments'!$B$3:$BT$4,2,TRUE))*CN20</f>
        <v>#N/A</v>
      </c>
      <c r="CZ20" s="325" t="e">
        <f>(HLOOKUP($AI20,'Inflation Adjustments'!$B$3:$BT$4,2,TRUE))*CO20</f>
        <v>#N/A</v>
      </c>
      <c r="DA20" s="325" t="e">
        <f>(HLOOKUP($AI20,'Inflation Adjustments'!$B$3:$BT$4,2,TRUE))*CP20</f>
        <v>#N/A</v>
      </c>
      <c r="DB20" s="325" t="e">
        <f>(HLOOKUP($AI20,'Inflation Adjustments'!$B$3:$BT$4,2,TRUE))*CQ20</f>
        <v>#N/A</v>
      </c>
      <c r="DC20" s="325" t="e">
        <f t="shared" si="34"/>
        <v>#N/A</v>
      </c>
      <c r="DD20" s="326">
        <f t="shared" si="15"/>
        <v>2022</v>
      </c>
      <c r="DE20" s="323" t="e">
        <f t="shared" si="16"/>
        <v>#N/A</v>
      </c>
      <c r="DF20" s="323" t="e">
        <f t="shared" si="17"/>
        <v>#N/A</v>
      </c>
      <c r="DG20" s="323" t="e">
        <f t="shared" si="18"/>
        <v>#N/A</v>
      </c>
      <c r="DH20" s="323" t="e">
        <f t="shared" si="19"/>
        <v>#N/A</v>
      </c>
      <c r="DI20" s="323" t="e">
        <f t="shared" si="20"/>
        <v>#N/A</v>
      </c>
      <c r="DJ20" s="323" t="e">
        <f t="shared" si="21"/>
        <v>#N/A</v>
      </c>
      <c r="DK20" s="323" t="e">
        <f t="shared" si="22"/>
        <v>#N/A</v>
      </c>
      <c r="DL20" s="323" t="e">
        <f t="shared" si="22"/>
        <v>#N/A</v>
      </c>
      <c r="DM20" s="323" t="e">
        <f t="shared" si="23"/>
        <v>#N/A</v>
      </c>
      <c r="DN20" s="323" t="e">
        <f t="shared" si="24"/>
        <v>#N/A</v>
      </c>
      <c r="DO20" s="327" t="e">
        <f t="shared" si="25"/>
        <v>#N/A</v>
      </c>
      <c r="DP20" s="327" t="e">
        <f t="shared" si="25"/>
        <v>#N/A</v>
      </c>
      <c r="DQ20" s="327" t="e">
        <f t="shared" si="25"/>
        <v>#N/A</v>
      </c>
      <c r="DR20" s="327" t="e">
        <f t="shared" si="25"/>
        <v>#N/A</v>
      </c>
      <c r="DS20" s="327" t="e">
        <f t="shared" si="25"/>
        <v>#N/A</v>
      </c>
      <c r="DT20" s="327" t="e">
        <f t="shared" si="25"/>
        <v>#N/A</v>
      </c>
      <c r="DU20" s="327" t="e">
        <f t="shared" si="25"/>
        <v>#N/A</v>
      </c>
      <c r="DV20" s="327" t="e">
        <f t="shared" si="25"/>
        <v>#N/A</v>
      </c>
      <c r="DW20" s="327" t="e">
        <f t="shared" si="25"/>
        <v>#N/A</v>
      </c>
      <c r="DX20" s="327" t="e">
        <f t="shared" si="25"/>
        <v>#N/A</v>
      </c>
      <c r="DY20" s="327" t="e">
        <f t="shared" si="35"/>
        <v>#N/A</v>
      </c>
      <c r="DZ20" s="323" t="e">
        <f t="shared" si="26"/>
        <v>#N/A</v>
      </c>
      <c r="EA20" s="323" t="e">
        <f t="shared" si="26"/>
        <v>#N/A</v>
      </c>
      <c r="EB20" s="323" t="e">
        <f t="shared" si="26"/>
        <v>#N/A</v>
      </c>
      <c r="EC20" s="323" t="e">
        <f t="shared" si="26"/>
        <v>#N/A</v>
      </c>
      <c r="ED20" s="323" t="e">
        <f t="shared" si="26"/>
        <v>#N/A</v>
      </c>
      <c r="EE20" s="323" t="e">
        <f t="shared" si="26"/>
        <v>#N/A</v>
      </c>
      <c r="EF20" s="323" t="e">
        <f t="shared" si="26"/>
        <v>#N/A</v>
      </c>
      <c r="EG20" s="323" t="e">
        <f t="shared" si="26"/>
        <v>#N/A</v>
      </c>
      <c r="EH20" s="323" t="e">
        <f t="shared" si="26"/>
        <v>#N/A</v>
      </c>
      <c r="EI20" s="323" t="e">
        <f t="shared" si="26"/>
        <v>#N/A</v>
      </c>
      <c r="EJ20" s="324" t="e">
        <f t="shared" si="36"/>
        <v>#N/A</v>
      </c>
      <c r="EK20" s="327" t="e">
        <f t="shared" si="27"/>
        <v>#N/A</v>
      </c>
      <c r="EL20" s="327" t="e">
        <f t="shared" si="27"/>
        <v>#N/A</v>
      </c>
      <c r="EM20" s="327" t="e">
        <f t="shared" si="27"/>
        <v>#N/A</v>
      </c>
      <c r="EN20" s="327" t="e">
        <f t="shared" si="27"/>
        <v>#N/A</v>
      </c>
      <c r="EO20" s="327" t="e">
        <f t="shared" si="27"/>
        <v>#N/A</v>
      </c>
      <c r="EP20" s="327" t="e">
        <f t="shared" si="27"/>
        <v>#N/A</v>
      </c>
      <c r="EQ20" s="327" t="e">
        <f t="shared" si="27"/>
        <v>#N/A</v>
      </c>
      <c r="ER20" s="327" t="e">
        <f t="shared" si="27"/>
        <v>#N/A</v>
      </c>
      <c r="ES20" s="327" t="e">
        <f t="shared" si="27"/>
        <v>#N/A</v>
      </c>
      <c r="ET20" s="327" t="e">
        <f t="shared" si="27"/>
        <v>#N/A</v>
      </c>
      <c r="EU20" s="325" t="e">
        <f t="shared" si="37"/>
        <v>#N/A</v>
      </c>
      <c r="EV20" s="336"/>
      <c r="EW20" s="336"/>
      <c r="EX20" s="336"/>
      <c r="EY20" s="336"/>
      <c r="EZ20" s="336"/>
      <c r="FA20" s="336"/>
      <c r="FB20" s="336"/>
    </row>
    <row r="21" spans="1:158" x14ac:dyDescent="0.3">
      <c r="A21" s="255"/>
      <c r="B21" s="255"/>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c r="BM21" s="255"/>
      <c r="BN21" s="255"/>
      <c r="BO21" s="255"/>
      <c r="BP21" s="255"/>
      <c r="BQ21" s="255"/>
      <c r="BR21" s="255"/>
      <c r="BS21" s="255"/>
      <c r="BT21" s="339"/>
      <c r="BU21" s="339"/>
      <c r="BV21" s="255"/>
      <c r="CH21" s="340"/>
      <c r="CI21" s="340"/>
      <c r="CJ21" s="340"/>
      <c r="CK21" s="340"/>
      <c r="CL21" s="340"/>
      <c r="CM21" s="340"/>
      <c r="CN21" s="340"/>
      <c r="CO21" s="340"/>
      <c r="CP21" s="340"/>
      <c r="CQ21" s="340"/>
      <c r="CR21" s="341"/>
      <c r="CS21" s="341"/>
      <c r="CT21" s="341"/>
      <c r="CU21" s="341"/>
      <c r="CV21" s="341"/>
      <c r="CW21" s="341"/>
    </row>
    <row r="22" spans="1:158" x14ac:dyDescent="0.3">
      <c r="A22" s="255"/>
      <c r="B22" s="255"/>
      <c r="C22" s="255"/>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342"/>
      <c r="AN22" s="255"/>
      <c r="AO22" s="342"/>
      <c r="AP22" s="342"/>
      <c r="AQ22" s="255"/>
      <c r="AR22" s="255"/>
      <c r="AS22" s="389"/>
      <c r="AT22" s="389"/>
      <c r="AU22" s="255"/>
      <c r="AV22" s="255"/>
      <c r="AW22" s="255"/>
      <c r="AX22" s="255"/>
      <c r="AY22" s="255"/>
      <c r="AZ22" s="255"/>
      <c r="BA22" s="255"/>
      <c r="BB22" s="255"/>
      <c r="BC22" s="255"/>
      <c r="BD22" s="255"/>
      <c r="BE22" s="255"/>
      <c r="BF22" s="255"/>
      <c r="BG22" s="255"/>
      <c r="BH22" s="255"/>
      <c r="BI22" s="255"/>
      <c r="BJ22" s="255"/>
      <c r="BK22" s="255"/>
      <c r="BL22" s="255"/>
      <c r="BM22" s="255"/>
      <c r="BN22" s="255"/>
      <c r="BO22" s="255"/>
      <c r="BP22" s="255"/>
      <c r="BQ22" s="255"/>
      <c r="BR22" s="255"/>
      <c r="BS22" s="255"/>
      <c r="BT22" s="339"/>
      <c r="BU22" s="339"/>
      <c r="BV22" s="255"/>
    </row>
    <row r="23" spans="1:158" x14ac:dyDescent="0.3">
      <c r="AT23" s="343"/>
    </row>
    <row r="50" spans="2:46" ht="39" customHeight="1" x14ac:dyDescent="0.3">
      <c r="B50" s="91" t="s">
        <v>52</v>
      </c>
      <c r="AM50" s="508">
        <f>SUM(AM5:AM5)</f>
        <v>1308619.5034375002</v>
      </c>
      <c r="AN50" s="508">
        <f t="shared" ref="AN50:AT50" si="38">SUM(AN5:AN5)</f>
        <v>0</v>
      </c>
      <c r="AO50" s="508">
        <f t="shared" si="38"/>
        <v>0</v>
      </c>
      <c r="AP50" s="508">
        <f t="shared" si="38"/>
        <v>1308619.5034375002</v>
      </c>
      <c r="AQ50" s="508">
        <f t="shared" si="38"/>
        <v>36334.579718749999</v>
      </c>
      <c r="AR50" s="508">
        <f t="shared" si="38"/>
        <v>1272284.9237187502</v>
      </c>
      <c r="AS50" s="508">
        <f t="shared" si="38"/>
        <v>1389912.4289531251</v>
      </c>
      <c r="AT50" s="508">
        <f t="shared" si="38"/>
        <v>6949.5621447656258</v>
      </c>
    </row>
  </sheetData>
  <mergeCells count="51">
    <mergeCell ref="A1:B1"/>
    <mergeCell ref="A2:I2"/>
    <mergeCell ref="J2:AE2"/>
    <mergeCell ref="AF2:AR2"/>
    <mergeCell ref="AS2:BG2"/>
    <mergeCell ref="EV2:FB2"/>
    <mergeCell ref="J3:S3"/>
    <mergeCell ref="T3:AC3"/>
    <mergeCell ref="AD3:AE3"/>
    <mergeCell ref="AG3:AH3"/>
    <mergeCell ref="AI3:AJ3"/>
    <mergeCell ref="AM3:AN3"/>
    <mergeCell ref="AO3:AO4"/>
    <mergeCell ref="AP3:AP4"/>
    <mergeCell ref="BH2:BT2"/>
    <mergeCell ref="AQ3:AQ4"/>
    <mergeCell ref="AR3:AR4"/>
    <mergeCell ref="AS3:AS4"/>
    <mergeCell ref="AT3:AT4"/>
    <mergeCell ref="AU3:BD3"/>
    <mergeCell ref="BN3:BN4"/>
    <mergeCell ref="BO3:BO4"/>
    <mergeCell ref="BP3:BP4"/>
    <mergeCell ref="BQ3:BQ4"/>
    <mergeCell ref="DO2:EJ2"/>
    <mergeCell ref="BI3:BI4"/>
    <mergeCell ref="BJ3:BJ4"/>
    <mergeCell ref="BK3:BK4"/>
    <mergeCell ref="BL3:BL4"/>
    <mergeCell ref="BM3:BM4"/>
    <mergeCell ref="BE3:BE4"/>
    <mergeCell ref="EX3:EX4"/>
    <mergeCell ref="BS3:BS4"/>
    <mergeCell ref="BT3:BT4"/>
    <mergeCell ref="BU3:BU4"/>
    <mergeCell ref="CH3:CR3"/>
    <mergeCell ref="CS3:DC3"/>
    <mergeCell ref="DE3:DN3"/>
    <mergeCell ref="DO3:DY3"/>
    <mergeCell ref="DZ3:EJ3"/>
    <mergeCell ref="EK3:EU3"/>
    <mergeCell ref="EV3:EV4"/>
    <mergeCell ref="EW3:EW4"/>
    <mergeCell ref="BR3:BR4"/>
    <mergeCell ref="BF3:BF4"/>
    <mergeCell ref="BH3:BH4"/>
    <mergeCell ref="EY3:EY4"/>
    <mergeCell ref="EZ3:EZ4"/>
    <mergeCell ref="FA3:FA4"/>
    <mergeCell ref="FB3:FB4"/>
    <mergeCell ref="FD5:FI5"/>
  </mergeCells>
  <conditionalFormatting sqref="AU5:BA5">
    <cfRule type="cellIs" dxfId="127" priority="10" operator="equal">
      <formula>1</formula>
    </cfRule>
    <cfRule type="cellIs" dxfId="126" priority="11" operator="equal">
      <formula>2</formula>
    </cfRule>
    <cfRule type="cellIs" dxfId="125" priority="12" operator="equal">
      <formula>3</formula>
    </cfRule>
    <cfRule type="cellIs" dxfId="124" priority="13" operator="greaterThan">
      <formula>3.5</formula>
    </cfRule>
  </conditionalFormatting>
  <conditionalFormatting sqref="BE5">
    <cfRule type="cellIs" dxfId="123" priority="6" operator="equal">
      <formula>1</formula>
    </cfRule>
    <cfRule type="cellIs" dxfId="122" priority="7" operator="equal">
      <formula>2</formula>
    </cfRule>
    <cfRule type="cellIs" dxfId="121" priority="8" operator="equal">
      <formula>3</formula>
    </cfRule>
    <cfRule type="cellIs" dxfId="120" priority="9" operator="greaterThan">
      <formula>3.5</formula>
    </cfRule>
  </conditionalFormatting>
  <conditionalFormatting sqref="BG5:BG10">
    <cfRule type="cellIs" dxfId="119" priority="1" operator="lessThan">
      <formula>0.3</formula>
    </cfRule>
    <cfRule type="cellIs" dxfId="118" priority="2" operator="between">
      <formula>0.3</formula>
      <formula>0.5</formula>
    </cfRule>
    <cfRule type="cellIs" dxfId="117" priority="3" operator="between">
      <formula>0.5</formula>
      <formula>0.6</formula>
    </cfRule>
    <cfRule type="cellIs" dxfId="116" priority="4" operator="greaterThan">
      <formula>0.6</formula>
    </cfRule>
    <cfRule type="cellIs" dxfId="115" priority="5" operator="lessThan">
      <formula>0.5</formula>
    </cfRule>
  </conditionalFormatting>
  <dataValidations count="8">
    <dataValidation type="list" allowBlank="1" showInputMessage="1" showErrorMessage="1" sqref="Y4:AC4" xr:uid="{50C66AD1-9C6A-4F27-B847-D4F8534CA56F}">
      <formula1>$I$4:$I$16</formula1>
    </dataValidation>
    <dataValidation type="list" allowBlank="1" showInputMessage="1" showErrorMessage="1" sqref="R5:R14 R19:R20" xr:uid="{8B1EBE72-4162-4D3F-B313-A3C38E5A37BA}">
      <formula1>$J$88:$J$91</formula1>
    </dataValidation>
    <dataValidation type="list" allowBlank="1" showInputMessage="1" showErrorMessage="1" sqref="M12 M5:M8" xr:uid="{29317A96-186D-41F6-8807-57987E5FA954}">
      <formula1>$J$39:$J$45</formula1>
    </dataValidation>
    <dataValidation type="list" allowBlank="1" showInputMessage="1" showErrorMessage="1" sqref="L5:L8" xr:uid="{8FA652C2-68AC-48D9-884E-2304C2F63E00}">
      <formula1>$J$30:$J$36</formula1>
    </dataValidation>
    <dataValidation type="list" allowBlank="1" showInputMessage="1" showErrorMessage="1" sqref="K5:K14 K19:K20" xr:uid="{044A942A-CA5C-4819-8C1E-F4E14D1A9494}">
      <formula1>$J$19:$J$26</formula1>
    </dataValidation>
    <dataValidation type="list" allowBlank="1" showInputMessage="1" showErrorMessage="1" sqref="J16:J20" xr:uid="{63C65E2B-7475-45CD-8C99-2DC06DFBEB68}">
      <formula1>$J$5:$J$14</formula1>
    </dataValidation>
    <dataValidation type="list" allowBlank="1" showInputMessage="1" showErrorMessage="1" sqref="F5:F14 F19:F20" xr:uid="{7222BA45-CD99-41B8-8598-D878A4CFB6AD}">
      <formula1>$H$4:$H$21</formula1>
    </dataValidation>
    <dataValidation type="list" allowBlank="1" showInputMessage="1" showErrorMessage="1" sqref="D14:D15 D17:D18" xr:uid="{4B732D43-C9BA-48B6-8660-0B5AF2FCFC3B}">
      <formula1>$D$4:$D$19</formula1>
    </dataValidation>
  </dataValidations>
  <pageMargins left="0.7" right="0.7" top="0.75" bottom="0.75" header="0.3" footer="0.3"/>
  <headerFooter>
    <oddFooter>&amp;C_x000D_&amp;1#&amp;"Calibri"&amp;8&amp;K000000 INTERNAL. This information is accessible to ADB Management and staff. It may be shared outside ADB with appropriate permission.</oddFooter>
  </headerFooter>
  <extLst>
    <ext xmlns:x14="http://schemas.microsoft.com/office/spreadsheetml/2009/9/main" uri="{CCE6A557-97BC-4b89-ADB6-D9C93CAAB3DF}">
      <x14:dataValidations xmlns:xm="http://schemas.microsoft.com/office/excel/2006/main" count="17">
        <x14:dataValidation type="list" allowBlank="1" showInputMessage="1" showErrorMessage="1" xr:uid="{426C8DCE-33B3-4867-B392-3C858EE44AB1}">
          <x14:formula1>
            <xm:f>'AR-Hierarchy '!$J$86:$J$90</xm:f>
          </x14:formula1>
          <xm:sqref>S5:S14</xm:sqref>
        </x14:dataValidation>
        <x14:dataValidation type="list" allowBlank="1" showInputMessage="1" showErrorMessage="1" xr:uid="{410829FB-A53F-40D7-8F3B-74F01147F29D}">
          <x14:formula1>
            <xm:f>'AR-Hierarchy '!$J$80:$J$83</xm:f>
          </x14:formula1>
          <xm:sqref>R16</xm:sqref>
        </x14:dataValidation>
        <x14:dataValidation type="list" allowBlank="1" showInputMessage="1" showErrorMessage="1" xr:uid="{271EBFF0-6184-489C-81F2-33F566794257}">
          <x14:formula1>
            <xm:f>'AR-Hierarchy '!$J$72:$J$77</xm:f>
          </x14:formula1>
          <xm:sqref>Q5:Q20</xm:sqref>
        </x14:dataValidation>
        <x14:dataValidation type="list" allowBlank="1" showInputMessage="1" showErrorMessage="1" xr:uid="{F34D245D-975F-4AD2-990E-FAE5145273B3}">
          <x14:formula1>
            <xm:f>'AR-Hierarchy '!$J$63:$J$68</xm:f>
          </x14:formula1>
          <xm:sqref>P5:P14</xm:sqref>
        </x14:dataValidation>
        <x14:dataValidation type="list" allowBlank="1" showInputMessage="1" showErrorMessage="1" xr:uid="{1ECBFDCD-D80A-456F-983B-0B3EB6367665}">
          <x14:formula1>
            <xm:f>'AR-Hierarchy '!$J$54:$J$60</xm:f>
          </x14:formula1>
          <xm:sqref>O5:O14</xm:sqref>
        </x14:dataValidation>
        <x14:dataValidation type="list" allowBlank="1" showInputMessage="1" showErrorMessage="1" xr:uid="{CA5A9709-D75A-4308-8316-DBF1895CAC53}">
          <x14:formula1>
            <xm:f>'AR-Hierarchy '!$J$45:$J$51</xm:f>
          </x14:formula1>
          <xm:sqref>N5:N8</xm:sqref>
        </x14:dataValidation>
        <x14:dataValidation type="list" allowBlank="1" showInputMessage="1" showErrorMessage="1" xr:uid="{916CFF67-1C47-4C73-8C4A-B1513034ECB9}">
          <x14:formula1>
            <xm:f>'AR-Hierarchy '!$J$35:$J$41</xm:f>
          </x14:formula1>
          <xm:sqref>M14</xm:sqref>
        </x14:dataValidation>
        <x14:dataValidation type="list" allowBlank="1" showInputMessage="1" showErrorMessage="1" xr:uid="{580FA9A3-32F1-4526-92EB-876654693E27}">
          <x14:formula1>
            <xm:f>'AR-Hierarchy '!$J$24:$J$32</xm:f>
          </x14:formula1>
          <xm:sqref>L12:L14</xm:sqref>
        </x14:dataValidation>
        <x14:dataValidation type="list" allowBlank="1" showInputMessage="1" showErrorMessage="1" xr:uid="{D50774B0-2328-41D2-900D-997D8F04FABC}">
          <x14:formula1>
            <xm:f>'AR-Hierarchy '!$J$5:$J$12</xm:f>
          </x14:formula1>
          <xm:sqref>J5:J8</xm:sqref>
        </x14:dataValidation>
        <x14:dataValidation type="list" allowBlank="1" showInputMessage="1" showErrorMessage="1" xr:uid="{C3EE0C2B-267C-48CC-81B4-5268F2DF085D}">
          <x14:formula1>
            <xm:f>'AR-Hierarchy '!$J$14:$J$21</xm:f>
          </x14:formula1>
          <xm:sqref>K16</xm:sqref>
        </x14:dataValidation>
        <x14:dataValidation type="list" allowBlank="1" showInputMessage="1" showErrorMessage="1" xr:uid="{2DB4EDBB-E042-45E5-9F2F-87EDFD5EBA0E}">
          <x14:formula1>
            <xm:f>'AR-Hierarchy '!$I$4:$I$14</xm:f>
          </x14:formula1>
          <xm:sqref>J4:S4</xm:sqref>
        </x14:dataValidation>
        <x14:dataValidation type="list" allowBlank="1" showInputMessage="1" showErrorMessage="1" xr:uid="{323589E3-6B37-4948-B376-F9386BAC1AC1}">
          <x14:formula1>
            <xm:f>'AR-Hierarchy '!$H$4:$H$20</xm:f>
          </x14:formula1>
          <xm:sqref>F16</xm:sqref>
        </x14:dataValidation>
        <x14:dataValidation type="list" allowBlank="1" showInputMessage="1" showErrorMessage="1" xr:uid="{5B43F078-ED7A-4E6E-836B-090495C06B4C}">
          <x14:formula1>
            <xm:f>'AR-Hierarchy '!$K$4:$K$17</xm:f>
          </x14:formula1>
          <xm:sqref>T5:AC20</xm:sqref>
        </x14:dataValidation>
        <x14:dataValidation type="list" allowBlank="1" showInputMessage="1" showErrorMessage="1" xr:uid="{F061C743-4B35-4C80-A3E3-0A7E61AB89F3}">
          <x14:formula1>
            <xm:f>'Inflation Adjustments'!$B$3:$BT$3</xm:f>
          </x14:formula1>
          <xm:sqref>AG16 AG5 AG7:AG11 AG19:AG21</xm:sqref>
        </x14:dataValidation>
        <x14:dataValidation type="list" allowBlank="1" showInputMessage="1" showErrorMessage="1" xr:uid="{91EF6792-9034-45BE-9D5D-9E3CD25E3423}">
          <x14:formula1>
            <xm:f>'Condition rating weights'!$C$29:$C$34</xm:f>
          </x14:formula1>
          <xm:sqref>AU5:BF5</xm:sqref>
        </x14:dataValidation>
        <x14:dataValidation type="list" allowBlank="1" showInputMessage="1" showErrorMessage="1" xr:uid="{AA8C4C27-7E5D-47DD-9DEA-9E9320D44D4A}">
          <x14:formula1>
            <xm:f>'AR-Hierarchy '!#REF!</xm:f>
          </x14:formula1>
          <xm:sqref>D7:D12 E5:E14</xm:sqref>
        </x14:dataValidation>
        <x14:dataValidation type="list" allowBlank="1" showInputMessage="1" showErrorMessage="1" xr:uid="{0916D297-5EF8-4C8F-B397-5D323157C013}">
          <x14:formula1>
            <xm:f>'AR-Hierarchy '!$B$4:$B$53</xm:f>
          </x14:formula1>
          <xm:sqref>C6:C14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DECFE-3C50-4569-8A80-9713E3C68C68}">
  <dimension ref="A1:FA50"/>
  <sheetViews>
    <sheetView topLeftCell="A16" workbookViewId="0">
      <selection activeCell="C31" sqref="C31"/>
    </sheetView>
  </sheetViews>
  <sheetFormatPr defaultColWidth="8.81640625" defaultRowHeight="14" x14ac:dyDescent="0.3"/>
  <cols>
    <col min="1" max="71" width="35.6328125" style="91" customWidth="1"/>
    <col min="72" max="72" width="35.6328125" style="290" customWidth="1"/>
    <col min="73" max="73" width="35.6328125" style="91" customWidth="1"/>
    <col min="74" max="75" width="8.81640625" style="91"/>
    <col min="76" max="76" width="16.08984375" style="91" customWidth="1"/>
    <col min="77" max="84" width="8.81640625" style="91"/>
    <col min="85" max="85" width="12.08984375" style="91" customWidth="1"/>
    <col min="86" max="86" width="10.90625" style="91" customWidth="1"/>
    <col min="87" max="87" width="11.81640625" style="91" customWidth="1"/>
    <col min="88" max="88" width="11" style="91" customWidth="1"/>
    <col min="89" max="89" width="11.453125" style="91" customWidth="1"/>
    <col min="90" max="90" width="12.54296875" style="91" bestFit="1" customWidth="1"/>
    <col min="91" max="91" width="11.08984375" style="91" bestFit="1" customWidth="1"/>
    <col min="92" max="92" width="8.81640625" style="91"/>
    <col min="93" max="93" width="10.453125" style="91" customWidth="1"/>
    <col min="94" max="94" width="11.08984375" style="91" bestFit="1" customWidth="1"/>
    <col min="95" max="100" width="12.1796875" style="91" customWidth="1"/>
    <col min="101" max="101" width="11.90625" style="91" customWidth="1"/>
    <col min="102" max="102" width="10.6328125" style="91" customWidth="1"/>
    <col min="103" max="103" width="8.81640625" style="91"/>
    <col min="104" max="104" width="10.81640625" style="91" customWidth="1"/>
    <col min="105" max="105" width="8.81640625" style="91"/>
    <col min="106" max="106" width="12" style="91" customWidth="1"/>
    <col min="107" max="107" width="16.36328125" style="91" customWidth="1"/>
    <col min="108" max="108" width="11.1796875" style="91" customWidth="1"/>
    <col min="109" max="112" width="10.6328125" style="91" customWidth="1"/>
    <col min="113" max="113" width="10" style="91" customWidth="1"/>
    <col min="114" max="114" width="10.90625" style="91" customWidth="1"/>
    <col min="115" max="115" width="9.08984375" style="91" bestFit="1" customWidth="1"/>
    <col min="116" max="116" width="10.81640625" style="91" customWidth="1"/>
    <col min="117" max="117" width="8.81640625" style="91"/>
    <col min="118" max="118" width="11.36328125" style="91" customWidth="1"/>
    <col min="119" max="122" width="10.81640625" style="91" customWidth="1"/>
    <col min="123" max="123" width="8.81640625" style="91" bestFit="1" customWidth="1"/>
    <col min="124" max="124" width="9.08984375" style="91" bestFit="1" customWidth="1"/>
    <col min="125" max="126" width="8.81640625" style="91" bestFit="1" customWidth="1"/>
    <col min="127" max="128" width="8.81640625" style="91" customWidth="1"/>
    <col min="129" max="129" width="11.36328125" style="91" customWidth="1"/>
    <col min="130" max="134" width="10.08984375" style="91" customWidth="1"/>
    <col min="135" max="138" width="8.81640625" style="91"/>
    <col min="139" max="139" width="11.08984375" style="91" bestFit="1" customWidth="1"/>
    <col min="140" max="150" width="11.08984375" style="91" customWidth="1"/>
    <col min="151" max="154" width="11.54296875" style="91" customWidth="1"/>
    <col min="155" max="155" width="11.81640625" style="91" customWidth="1"/>
    <col min="156" max="157" width="12.1796875" style="91" customWidth="1"/>
    <col min="158" max="16384" width="8.81640625" style="91"/>
  </cols>
  <sheetData>
    <row r="1" spans="1:157" ht="34.5" customHeight="1" thickTop="1" x14ac:dyDescent="0.3">
      <c r="A1" s="286" t="s">
        <v>32</v>
      </c>
      <c r="B1" s="287"/>
      <c r="C1" s="288">
        <v>2023</v>
      </c>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row>
    <row r="2" spans="1:157" ht="45.5" customHeight="1" thickBot="1" x14ac:dyDescent="0.35">
      <c r="A2" s="584" t="s">
        <v>1420</v>
      </c>
      <c r="B2" s="585"/>
      <c r="C2" s="585"/>
      <c r="D2" s="585"/>
      <c r="E2" s="585"/>
      <c r="F2" s="585"/>
      <c r="G2" s="585"/>
      <c r="H2" s="585"/>
      <c r="I2" s="649"/>
      <c r="J2" s="659" t="s">
        <v>298</v>
      </c>
      <c r="K2" s="587"/>
      <c r="L2" s="587"/>
      <c r="M2" s="587"/>
      <c r="N2" s="587"/>
      <c r="O2" s="587"/>
      <c r="P2" s="587"/>
      <c r="Q2" s="587"/>
      <c r="R2" s="587"/>
      <c r="S2" s="587"/>
      <c r="T2" s="587"/>
      <c r="U2" s="587"/>
      <c r="V2" s="587"/>
      <c r="W2" s="587"/>
      <c r="X2" s="587"/>
      <c r="Y2" s="587"/>
      <c r="Z2" s="587"/>
      <c r="AA2" s="587"/>
      <c r="AB2" s="587"/>
      <c r="AC2" s="587"/>
      <c r="AD2" s="587"/>
      <c r="AE2" s="588"/>
      <c r="AF2" s="592" t="s">
        <v>267</v>
      </c>
      <c r="AG2" s="593"/>
      <c r="AH2" s="593"/>
      <c r="AI2" s="593"/>
      <c r="AJ2" s="593"/>
      <c r="AK2" s="593"/>
      <c r="AL2" s="593"/>
      <c r="AM2" s="593"/>
      <c r="AN2" s="593"/>
      <c r="AO2" s="593"/>
      <c r="AP2" s="593"/>
      <c r="AQ2" s="593"/>
      <c r="AR2" s="594"/>
      <c r="AS2" s="595" t="s">
        <v>268</v>
      </c>
      <c r="AT2" s="596"/>
      <c r="AU2" s="596"/>
      <c r="AV2" s="596"/>
      <c r="AW2" s="596"/>
      <c r="AX2" s="596"/>
      <c r="AY2" s="596"/>
      <c r="AZ2" s="596"/>
      <c r="BA2" s="596"/>
      <c r="BB2" s="596"/>
      <c r="BC2" s="596"/>
      <c r="BD2" s="596"/>
      <c r="BE2" s="596"/>
      <c r="BF2" s="596"/>
      <c r="BG2" s="596"/>
      <c r="BH2" s="597" t="s">
        <v>312</v>
      </c>
      <c r="BI2" s="598"/>
      <c r="BJ2" s="598"/>
      <c r="BK2" s="598"/>
      <c r="BL2" s="598"/>
      <c r="BM2" s="598"/>
      <c r="BN2" s="598"/>
      <c r="BO2" s="598"/>
      <c r="BP2" s="598"/>
      <c r="BQ2" s="598"/>
      <c r="BR2" s="598"/>
      <c r="BS2" s="598"/>
      <c r="BT2" s="599"/>
      <c r="DN2" s="589" t="s">
        <v>828</v>
      </c>
      <c r="DO2" s="589"/>
      <c r="DP2" s="589"/>
      <c r="DQ2" s="589"/>
      <c r="DR2" s="589"/>
      <c r="DS2" s="589"/>
      <c r="DT2" s="589"/>
      <c r="DU2" s="589"/>
      <c r="DV2" s="589"/>
      <c r="DW2" s="589"/>
      <c r="DX2" s="589"/>
      <c r="DY2" s="589"/>
      <c r="DZ2" s="589"/>
      <c r="EA2" s="589"/>
      <c r="EB2" s="589"/>
      <c r="EC2" s="589"/>
      <c r="ED2" s="589"/>
      <c r="EE2" s="589"/>
      <c r="EF2" s="589"/>
      <c r="EG2" s="589"/>
      <c r="EH2" s="589"/>
      <c r="EI2" s="589"/>
      <c r="EJ2" s="93"/>
      <c r="EK2" s="93"/>
      <c r="EL2" s="93"/>
      <c r="EM2" s="93"/>
      <c r="EN2" s="93"/>
      <c r="EO2" s="93"/>
      <c r="EP2" s="93"/>
      <c r="EQ2" s="93"/>
      <c r="ER2" s="93"/>
      <c r="ES2" s="93"/>
      <c r="ET2" s="93"/>
      <c r="EU2" s="590" t="s">
        <v>829</v>
      </c>
      <c r="EV2" s="590"/>
      <c r="EW2" s="590"/>
      <c r="EX2" s="590"/>
      <c r="EY2" s="590"/>
      <c r="EZ2" s="590"/>
      <c r="FA2" s="590"/>
    </row>
    <row r="3" spans="1:157" ht="14.5" thickTop="1" x14ac:dyDescent="0.3">
      <c r="A3" s="293" t="s">
        <v>0</v>
      </c>
      <c r="B3" s="294" t="s">
        <v>34</v>
      </c>
      <c r="C3" s="294" t="s">
        <v>250</v>
      </c>
      <c r="D3" s="294" t="s">
        <v>251</v>
      </c>
      <c r="E3" s="294" t="s">
        <v>1</v>
      </c>
      <c r="F3" s="294" t="s">
        <v>2</v>
      </c>
      <c r="G3" s="294" t="s">
        <v>252</v>
      </c>
      <c r="H3" s="294" t="s">
        <v>30</v>
      </c>
      <c r="I3" s="294" t="s">
        <v>31</v>
      </c>
      <c r="J3" s="600" t="s">
        <v>253</v>
      </c>
      <c r="K3" s="601"/>
      <c r="L3" s="601"/>
      <c r="M3" s="601"/>
      <c r="N3" s="601"/>
      <c r="O3" s="601"/>
      <c r="P3" s="601"/>
      <c r="Q3" s="601"/>
      <c r="R3" s="601"/>
      <c r="S3" s="602"/>
      <c r="T3" s="600" t="s">
        <v>254</v>
      </c>
      <c r="U3" s="601"/>
      <c r="V3" s="601"/>
      <c r="W3" s="601"/>
      <c r="X3" s="601"/>
      <c r="Y3" s="601"/>
      <c r="Z3" s="601"/>
      <c r="AA3" s="601"/>
      <c r="AB3" s="601"/>
      <c r="AC3" s="602"/>
      <c r="AD3" s="600" t="s">
        <v>255</v>
      </c>
      <c r="AE3" s="602"/>
      <c r="AF3" s="294" t="s">
        <v>259</v>
      </c>
      <c r="AG3" s="603" t="s">
        <v>38</v>
      </c>
      <c r="AH3" s="604"/>
      <c r="AI3" s="603" t="s">
        <v>261</v>
      </c>
      <c r="AJ3" s="591"/>
      <c r="AK3" s="296"/>
      <c r="AL3" s="296"/>
      <c r="AM3" s="591" t="s">
        <v>262</v>
      </c>
      <c r="AN3" s="591"/>
      <c r="AO3" s="591" t="s">
        <v>263</v>
      </c>
      <c r="AP3" s="591" t="s">
        <v>326</v>
      </c>
      <c r="AQ3" s="604" t="s">
        <v>33</v>
      </c>
      <c r="AR3" s="609" t="s">
        <v>264</v>
      </c>
      <c r="AS3" s="611" t="s">
        <v>265</v>
      </c>
      <c r="AT3" s="611" t="s">
        <v>266</v>
      </c>
      <c r="AU3" s="613" t="s">
        <v>53</v>
      </c>
      <c r="AV3" s="614"/>
      <c r="AW3" s="614"/>
      <c r="AX3" s="614"/>
      <c r="AY3" s="614"/>
      <c r="AZ3" s="614"/>
      <c r="BA3" s="614"/>
      <c r="BB3" s="614"/>
      <c r="BC3" s="614"/>
      <c r="BD3" s="615"/>
      <c r="BE3" s="611" t="s">
        <v>1581</v>
      </c>
      <c r="BF3" s="611"/>
      <c r="BG3" s="297" t="s">
        <v>1672</v>
      </c>
      <c r="BH3" s="605" t="s">
        <v>299</v>
      </c>
      <c r="BI3" s="605" t="s">
        <v>300</v>
      </c>
      <c r="BJ3" s="605" t="s">
        <v>301</v>
      </c>
      <c r="BK3" s="605" t="s">
        <v>302</v>
      </c>
      <c r="BL3" s="605" t="s">
        <v>303</v>
      </c>
      <c r="BM3" s="605" t="s">
        <v>304</v>
      </c>
      <c r="BN3" s="605" t="s">
        <v>305</v>
      </c>
      <c r="BO3" s="605" t="s">
        <v>306</v>
      </c>
      <c r="BP3" s="605" t="s">
        <v>307</v>
      </c>
      <c r="BQ3" s="605" t="s">
        <v>308</v>
      </c>
      <c r="BR3" s="605" t="s">
        <v>309</v>
      </c>
      <c r="BS3" s="605" t="s">
        <v>310</v>
      </c>
      <c r="BT3" s="616" t="s">
        <v>311</v>
      </c>
      <c r="BU3" s="657" t="s">
        <v>1428</v>
      </c>
      <c r="BZ3" s="299" t="s">
        <v>809</v>
      </c>
      <c r="CG3" s="590" t="s">
        <v>816</v>
      </c>
      <c r="CH3" s="590"/>
      <c r="CI3" s="590"/>
      <c r="CJ3" s="590"/>
      <c r="CK3" s="590"/>
      <c r="CL3" s="590"/>
      <c r="CM3" s="590"/>
      <c r="CN3" s="590"/>
      <c r="CO3" s="590"/>
      <c r="CP3" s="590"/>
      <c r="CQ3" s="590"/>
      <c r="CR3" s="620" t="s">
        <v>262</v>
      </c>
      <c r="CS3" s="620"/>
      <c r="CT3" s="620"/>
      <c r="CU3" s="620"/>
      <c r="CV3" s="620"/>
      <c r="CW3" s="620"/>
      <c r="CX3" s="620"/>
      <c r="CY3" s="620"/>
      <c r="CZ3" s="620"/>
      <c r="DA3" s="620"/>
      <c r="DB3" s="620"/>
      <c r="DC3" s="292"/>
      <c r="DD3" s="590" t="s">
        <v>825</v>
      </c>
      <c r="DE3" s="590"/>
      <c r="DF3" s="590"/>
      <c r="DG3" s="590"/>
      <c r="DH3" s="590"/>
      <c r="DI3" s="590"/>
      <c r="DJ3" s="590"/>
      <c r="DK3" s="590"/>
      <c r="DL3" s="590"/>
      <c r="DM3" s="590"/>
      <c r="DN3" s="620" t="s">
        <v>827</v>
      </c>
      <c r="DO3" s="620"/>
      <c r="DP3" s="620"/>
      <c r="DQ3" s="620"/>
      <c r="DR3" s="620"/>
      <c r="DS3" s="620"/>
      <c r="DT3" s="620"/>
      <c r="DU3" s="620"/>
      <c r="DV3" s="620"/>
      <c r="DW3" s="620"/>
      <c r="DX3" s="620"/>
      <c r="DY3" s="590" t="s">
        <v>826</v>
      </c>
      <c r="DZ3" s="590"/>
      <c r="EA3" s="590"/>
      <c r="EB3" s="590"/>
      <c r="EC3" s="590"/>
      <c r="ED3" s="590"/>
      <c r="EE3" s="590"/>
      <c r="EF3" s="590"/>
      <c r="EG3" s="590"/>
      <c r="EH3" s="590"/>
      <c r="EI3" s="590"/>
      <c r="EJ3" s="620" t="s">
        <v>833</v>
      </c>
      <c r="EK3" s="620"/>
      <c r="EL3" s="620"/>
      <c r="EM3" s="620"/>
      <c r="EN3" s="620"/>
      <c r="EO3" s="620"/>
      <c r="EP3" s="620"/>
      <c r="EQ3" s="620"/>
      <c r="ER3" s="620"/>
      <c r="ES3" s="620"/>
      <c r="ET3" s="620"/>
      <c r="EU3" s="619" t="s">
        <v>1026</v>
      </c>
      <c r="EV3" s="619" t="s">
        <v>1022</v>
      </c>
      <c r="EW3" s="619" t="s">
        <v>1023</v>
      </c>
      <c r="EX3" s="619" t="s">
        <v>1027</v>
      </c>
      <c r="EY3" s="619" t="s">
        <v>1024</v>
      </c>
      <c r="EZ3" s="619" t="s">
        <v>1025</v>
      </c>
      <c r="FA3" s="619" t="s">
        <v>33</v>
      </c>
    </row>
    <row r="4" spans="1:157" ht="57.5" customHeight="1" thickBot="1" x14ac:dyDescent="0.35">
      <c r="A4" s="300"/>
      <c r="B4" s="301"/>
      <c r="C4" s="302"/>
      <c r="D4" s="302"/>
      <c r="E4" s="302"/>
      <c r="F4" s="302"/>
      <c r="G4" s="302"/>
      <c r="H4" s="302"/>
      <c r="I4" s="302"/>
      <c r="J4" s="303" t="s">
        <v>105</v>
      </c>
      <c r="K4" s="303" t="s">
        <v>106</v>
      </c>
      <c r="L4" s="303" t="s">
        <v>107</v>
      </c>
      <c r="M4" s="303" t="s">
        <v>108</v>
      </c>
      <c r="N4" s="303" t="s">
        <v>109</v>
      </c>
      <c r="O4" s="303" t="s">
        <v>120</v>
      </c>
      <c r="P4" s="303" t="s">
        <v>111</v>
      </c>
      <c r="Q4" s="303" t="s">
        <v>112</v>
      </c>
      <c r="R4" s="303" t="s">
        <v>113</v>
      </c>
      <c r="S4" s="303" t="s">
        <v>110</v>
      </c>
      <c r="T4" s="303" t="s">
        <v>935</v>
      </c>
      <c r="U4" s="303" t="s">
        <v>936</v>
      </c>
      <c r="V4" s="303" t="s">
        <v>937</v>
      </c>
      <c r="W4" s="303" t="s">
        <v>938</v>
      </c>
      <c r="X4" s="303" t="s">
        <v>939</v>
      </c>
      <c r="Y4" s="303" t="s">
        <v>120</v>
      </c>
      <c r="Z4" s="303" t="s">
        <v>111</v>
      </c>
      <c r="AA4" s="303" t="s">
        <v>112</v>
      </c>
      <c r="AB4" s="303" t="s">
        <v>113</v>
      </c>
      <c r="AC4" s="303" t="s">
        <v>110</v>
      </c>
      <c r="AD4" s="303" t="s">
        <v>256</v>
      </c>
      <c r="AE4" s="303" t="s">
        <v>257</v>
      </c>
      <c r="AF4" s="302"/>
      <c r="AG4" s="302" t="s">
        <v>38</v>
      </c>
      <c r="AH4" s="302" t="s">
        <v>260</v>
      </c>
      <c r="AI4" s="302" t="s">
        <v>261</v>
      </c>
      <c r="AJ4" s="302" t="s">
        <v>260</v>
      </c>
      <c r="AK4" s="302" t="s">
        <v>715</v>
      </c>
      <c r="AL4" s="302" t="s">
        <v>716</v>
      </c>
      <c r="AM4" s="302" t="s">
        <v>262</v>
      </c>
      <c r="AN4" s="302" t="s">
        <v>260</v>
      </c>
      <c r="AO4" s="607"/>
      <c r="AP4" s="607"/>
      <c r="AQ4" s="608"/>
      <c r="AR4" s="610"/>
      <c r="AS4" s="612"/>
      <c r="AT4" s="612"/>
      <c r="AU4" s="303" t="s">
        <v>164</v>
      </c>
      <c r="AV4" s="303" t="s">
        <v>36</v>
      </c>
      <c r="AW4" s="303" t="s">
        <v>5</v>
      </c>
      <c r="AX4" s="303" t="s">
        <v>3</v>
      </c>
      <c r="AY4" s="303" t="s">
        <v>165</v>
      </c>
      <c r="AZ4" s="303" t="s">
        <v>166</v>
      </c>
      <c r="BA4" s="303" t="s">
        <v>653</v>
      </c>
      <c r="BB4" s="303" t="s">
        <v>654</v>
      </c>
      <c r="BC4" s="303" t="s">
        <v>652</v>
      </c>
      <c r="BD4" s="303" t="s">
        <v>73</v>
      </c>
      <c r="BE4" s="612"/>
      <c r="BF4" s="612"/>
      <c r="BG4" s="304" t="s">
        <v>37</v>
      </c>
      <c r="BH4" s="606"/>
      <c r="BI4" s="606"/>
      <c r="BJ4" s="606"/>
      <c r="BK4" s="606"/>
      <c r="BL4" s="606"/>
      <c r="BM4" s="606"/>
      <c r="BN4" s="606"/>
      <c r="BO4" s="606"/>
      <c r="BP4" s="606"/>
      <c r="BQ4" s="606"/>
      <c r="BR4" s="606"/>
      <c r="BS4" s="606"/>
      <c r="BT4" s="592"/>
      <c r="BU4" s="658"/>
      <c r="BX4" s="305"/>
      <c r="BY4" s="306" t="str">
        <f>'AR-Hierarchy '!K4</f>
        <v>Basic Design</v>
      </c>
      <c r="BZ4" s="306" t="str">
        <f>'AR-Hierarchy '!K5</f>
        <v>Standard Design</v>
      </c>
      <c r="CA4" s="306" t="str">
        <f>'AR-Hierarchy '!K6</f>
        <v xml:space="preserve">Superior Design </v>
      </c>
      <c r="CB4" s="306" t="str">
        <f>'AR-Hierarchy '!K7</f>
        <v>None</v>
      </c>
      <c r="CC4" s="306" t="str">
        <f>BY4</f>
        <v>Basic Design</v>
      </c>
      <c r="CD4" s="306" t="str">
        <f>BZ4</f>
        <v>Standard Design</v>
      </c>
      <c r="CE4" s="306" t="str">
        <f>CA4</f>
        <v xml:space="preserve">Superior Design </v>
      </c>
      <c r="CF4" s="305" t="s">
        <v>117</v>
      </c>
      <c r="CG4" s="307" t="str">
        <f>BX5</f>
        <v>Substructure</v>
      </c>
      <c r="CH4" s="308" t="str">
        <f>BX6</f>
        <v>Structure</v>
      </c>
      <c r="CI4" s="308" t="str">
        <f>BX7</f>
        <v>Roofing</v>
      </c>
      <c r="CJ4" s="307" t="str">
        <f>BX8</f>
        <v>Exterior Wall Cladding</v>
      </c>
      <c r="CK4" s="308" t="str">
        <f>BX9</f>
        <v>Fitouts</v>
      </c>
      <c r="CL4" s="309" t="str">
        <f>BX10</f>
        <v>Floor Covering</v>
      </c>
      <c r="CM4" s="310" t="str">
        <f>BX11</f>
        <v>Service Mechanical</v>
      </c>
      <c r="CN4" s="310" t="str">
        <f>BX12</f>
        <v>Services Electrical</v>
      </c>
      <c r="CO4" s="310" t="str">
        <f>BX13</f>
        <v>Services Sanitation</v>
      </c>
      <c r="CP4" s="310" t="str">
        <f>BX14</f>
        <v>Services Water</v>
      </c>
      <c r="CQ4" s="310" t="s">
        <v>823</v>
      </c>
      <c r="CR4" s="306" t="str">
        <f>CG4</f>
        <v>Substructure</v>
      </c>
      <c r="CS4" s="306" t="str">
        <f t="shared" ref="CS4:DA4" si="0">CH4</f>
        <v>Structure</v>
      </c>
      <c r="CT4" s="306" t="str">
        <f t="shared" si="0"/>
        <v>Roofing</v>
      </c>
      <c r="CU4" s="306" t="str">
        <f t="shared" si="0"/>
        <v>Exterior Wall Cladding</v>
      </c>
      <c r="CV4" s="306" t="str">
        <f t="shared" si="0"/>
        <v>Fitouts</v>
      </c>
      <c r="CW4" s="306" t="str">
        <f t="shared" si="0"/>
        <v>Floor Covering</v>
      </c>
      <c r="CX4" s="306" t="str">
        <f t="shared" si="0"/>
        <v>Service Mechanical</v>
      </c>
      <c r="CY4" s="306" t="str">
        <f t="shared" si="0"/>
        <v>Services Electrical</v>
      </c>
      <c r="CZ4" s="306" t="str">
        <f t="shared" si="0"/>
        <v>Services Sanitation</v>
      </c>
      <c r="DA4" s="306" t="str">
        <f t="shared" si="0"/>
        <v>Services Water</v>
      </c>
      <c r="DB4" s="306" t="s">
        <v>824</v>
      </c>
      <c r="DC4" s="307" t="s">
        <v>1028</v>
      </c>
      <c r="DD4" s="307" t="str">
        <f>CR4</f>
        <v>Substructure</v>
      </c>
      <c r="DE4" s="307" t="str">
        <f t="shared" ref="DE4:DM4" si="1">CS4</f>
        <v>Structure</v>
      </c>
      <c r="DF4" s="307" t="str">
        <f t="shared" si="1"/>
        <v>Roofing</v>
      </c>
      <c r="DG4" s="307" t="str">
        <f t="shared" si="1"/>
        <v>Exterior Wall Cladding</v>
      </c>
      <c r="DH4" s="307" t="str">
        <f t="shared" si="1"/>
        <v>Fitouts</v>
      </c>
      <c r="DI4" s="307" t="str">
        <f t="shared" si="1"/>
        <v>Floor Covering</v>
      </c>
      <c r="DJ4" s="307" t="str">
        <f t="shared" si="1"/>
        <v>Service Mechanical</v>
      </c>
      <c r="DK4" s="307" t="str">
        <f t="shared" si="1"/>
        <v>Services Electrical</v>
      </c>
      <c r="DL4" s="307" t="str">
        <f t="shared" si="1"/>
        <v>Services Sanitation</v>
      </c>
      <c r="DM4" s="307" t="str">
        <f t="shared" si="1"/>
        <v>Services Water</v>
      </c>
      <c r="DN4" s="311" t="str">
        <f>DD4</f>
        <v>Substructure</v>
      </c>
      <c r="DO4" s="311" t="str">
        <f t="shared" ref="DO4:DW4" si="2">DE4</f>
        <v>Structure</v>
      </c>
      <c r="DP4" s="311" t="str">
        <f t="shared" si="2"/>
        <v>Roofing</v>
      </c>
      <c r="DQ4" s="311" t="str">
        <f t="shared" si="2"/>
        <v>Exterior Wall Cladding</v>
      </c>
      <c r="DR4" s="311" t="str">
        <f t="shared" si="2"/>
        <v>Fitouts</v>
      </c>
      <c r="DS4" s="311" t="str">
        <f t="shared" si="2"/>
        <v>Floor Covering</v>
      </c>
      <c r="DT4" s="311" t="str">
        <f t="shared" si="2"/>
        <v>Service Mechanical</v>
      </c>
      <c r="DU4" s="311" t="str">
        <f t="shared" si="2"/>
        <v>Services Electrical</v>
      </c>
      <c r="DV4" s="311" t="str">
        <f t="shared" si="2"/>
        <v>Services Sanitation</v>
      </c>
      <c r="DW4" s="311" t="str">
        <f t="shared" si="2"/>
        <v>Services Water</v>
      </c>
      <c r="DX4" s="311" t="s">
        <v>1021</v>
      </c>
      <c r="DY4" s="310" t="str">
        <f>DN4</f>
        <v>Substructure</v>
      </c>
      <c r="DZ4" s="310" t="str">
        <f t="shared" ref="DZ4:EH4" si="3">DO4</f>
        <v>Structure</v>
      </c>
      <c r="EA4" s="310" t="str">
        <f t="shared" si="3"/>
        <v>Roofing</v>
      </c>
      <c r="EB4" s="310" t="str">
        <f t="shared" si="3"/>
        <v>Exterior Wall Cladding</v>
      </c>
      <c r="EC4" s="310" t="str">
        <f t="shared" si="3"/>
        <v>Fitouts</v>
      </c>
      <c r="ED4" s="310" t="str">
        <f t="shared" si="3"/>
        <v>Floor Covering</v>
      </c>
      <c r="EE4" s="310" t="str">
        <f t="shared" si="3"/>
        <v>Service Mechanical</v>
      </c>
      <c r="EF4" s="310" t="str">
        <f t="shared" si="3"/>
        <v>Services Electrical</v>
      </c>
      <c r="EG4" s="310" t="str">
        <f t="shared" si="3"/>
        <v>Services Sanitation</v>
      </c>
      <c r="EH4" s="310" t="str">
        <f t="shared" si="3"/>
        <v>Services Water</v>
      </c>
      <c r="EI4" s="310" t="s">
        <v>1021</v>
      </c>
      <c r="EJ4" s="311" t="str">
        <f>DY4</f>
        <v>Substructure</v>
      </c>
      <c r="EK4" s="311" t="str">
        <f t="shared" ref="EK4:ES4" si="4">DZ4</f>
        <v>Structure</v>
      </c>
      <c r="EL4" s="311" t="str">
        <f t="shared" si="4"/>
        <v>Roofing</v>
      </c>
      <c r="EM4" s="311" t="str">
        <f t="shared" si="4"/>
        <v>Exterior Wall Cladding</v>
      </c>
      <c r="EN4" s="311" t="str">
        <f t="shared" si="4"/>
        <v>Fitouts</v>
      </c>
      <c r="EO4" s="311" t="str">
        <f t="shared" si="4"/>
        <v>Floor Covering</v>
      </c>
      <c r="EP4" s="311" t="str">
        <f t="shared" si="4"/>
        <v>Service Mechanical</v>
      </c>
      <c r="EQ4" s="311" t="str">
        <f t="shared" si="4"/>
        <v>Services Electrical</v>
      </c>
      <c r="ER4" s="311" t="str">
        <f t="shared" si="4"/>
        <v>Services Sanitation</v>
      </c>
      <c r="ES4" s="311" t="str">
        <f t="shared" si="4"/>
        <v>Services Water</v>
      </c>
      <c r="ET4" s="311" t="s">
        <v>52</v>
      </c>
      <c r="EU4" s="619"/>
      <c r="EV4" s="619"/>
      <c r="EW4" s="619"/>
      <c r="EX4" s="619"/>
      <c r="EY4" s="619"/>
      <c r="EZ4" s="619"/>
      <c r="FA4" s="619"/>
    </row>
    <row r="5" spans="1:157" ht="86" customHeight="1" thickTop="1" x14ac:dyDescent="0.3">
      <c r="A5" s="312"/>
      <c r="B5" s="313"/>
      <c r="C5" s="313"/>
      <c r="D5" s="313"/>
      <c r="E5" s="313"/>
      <c r="F5" s="313"/>
      <c r="G5" s="313"/>
      <c r="H5" s="313"/>
      <c r="I5" s="313"/>
      <c r="J5" s="313"/>
      <c r="K5" s="313"/>
      <c r="L5" s="313"/>
      <c r="M5" s="313"/>
      <c r="N5" s="313"/>
      <c r="O5" s="313"/>
      <c r="P5" s="313"/>
      <c r="Q5" s="313"/>
      <c r="R5" s="313"/>
      <c r="S5" s="313"/>
      <c r="T5" s="313"/>
      <c r="U5" s="313"/>
      <c r="V5" s="313"/>
      <c r="W5" s="313"/>
      <c r="X5" s="313"/>
      <c r="Y5" s="313"/>
      <c r="Z5" s="313"/>
      <c r="AA5" s="313"/>
      <c r="AB5" s="313"/>
      <c r="AC5" s="313"/>
      <c r="AD5" s="313"/>
      <c r="AE5" s="313"/>
      <c r="AF5" s="313"/>
      <c r="AG5" s="314"/>
      <c r="AH5" s="313"/>
      <c r="AI5" s="313"/>
      <c r="AJ5" s="313"/>
      <c r="AK5" s="313"/>
      <c r="AL5" s="313"/>
      <c r="AM5" s="313"/>
      <c r="AN5" s="313"/>
      <c r="AO5" s="313"/>
      <c r="AP5" s="313"/>
      <c r="AQ5" s="313"/>
      <c r="AR5" s="313"/>
      <c r="AS5" s="316"/>
      <c r="AT5" s="313"/>
      <c r="AU5" s="313"/>
      <c r="AV5" s="313"/>
      <c r="AW5" s="313"/>
      <c r="AX5" s="313"/>
      <c r="AY5" s="313"/>
      <c r="AZ5" s="313"/>
      <c r="BA5" s="313"/>
      <c r="BB5" s="313"/>
      <c r="BC5" s="313"/>
      <c r="BD5" s="313"/>
      <c r="BE5" s="313"/>
      <c r="BF5" s="313"/>
      <c r="BG5" s="313">
        <f>(AU5*'Condition rating weights'!H$8+AV5*'Condition rating weights'!I$8+AW5*'Condition rating weights'!J$8+AX5*'Condition rating weights'!K$8+AY5*'Condition rating weights'!L$8+AZ5*'Condition rating weights'!M$8+BA5*'Condition rating weights'!N$8+BB5*'Condition rating weights'!O$8+BC5*'Condition rating weights'!P$8+BD5*'Condition rating weights'!Q$8+BE5*'Condition rating weights'!R$8+BF5*'Condition rating weights'!S$8)/100</f>
        <v>0</v>
      </c>
      <c r="BH5" s="320"/>
      <c r="BI5" s="320"/>
      <c r="BJ5" s="320"/>
      <c r="BK5" s="320"/>
      <c r="BL5" s="320"/>
      <c r="BM5" s="320"/>
      <c r="BN5" s="320"/>
      <c r="BO5" s="320"/>
      <c r="BP5" s="320"/>
      <c r="BQ5" s="320"/>
      <c r="BR5" s="320"/>
      <c r="BS5" s="320"/>
      <c r="BT5" s="321"/>
      <c r="BU5" s="430"/>
      <c r="BX5" s="306" t="str">
        <f>'GRC and TUL Assumptions'!A5</f>
        <v>Substructure</v>
      </c>
      <c r="BY5" s="305">
        <f>'GRC and TUL Assumptions'!C5</f>
        <v>150</v>
      </c>
      <c r="BZ5" s="305">
        <f>'GRC and TUL Assumptions'!D5</f>
        <v>200</v>
      </c>
      <c r="CA5" s="305">
        <f>'GRC and TUL Assumptions'!E5</f>
        <v>300</v>
      </c>
      <c r="CB5" s="305">
        <v>0</v>
      </c>
      <c r="CC5" s="305">
        <f>'GRC and TUL Assumptions'!F5</f>
        <v>40</v>
      </c>
      <c r="CD5" s="305">
        <f>'GRC and TUL Assumptions'!G5</f>
        <v>60</v>
      </c>
      <c r="CE5" s="305">
        <f>'GRC and TUL Assumptions'!H5</f>
        <v>60</v>
      </c>
      <c r="CF5" s="305">
        <f>CC5</f>
        <v>40</v>
      </c>
      <c r="CG5" s="323" t="e">
        <f t="shared" ref="CG5:CG20" si="5">(HLOOKUP(T5,$BY$4:$CB$14,2,TRUE))*$AE5</f>
        <v>#N/A</v>
      </c>
      <c r="CH5" s="323" t="e">
        <f t="shared" ref="CH5:CH20" si="6">(HLOOKUP(U5,$BY$4:$CC$14,3,TRUE))*$AE5</f>
        <v>#N/A</v>
      </c>
      <c r="CI5" s="323" t="e">
        <f t="shared" ref="CI5:CI20" si="7">(HLOOKUP(V5,$BY$4:$CC$14,4,TRUE))*$AE5</f>
        <v>#N/A</v>
      </c>
      <c r="CJ5" s="323" t="e">
        <f t="shared" ref="CJ5:CJ20" si="8">(HLOOKUP(W5,$BY$4:$CC$14,5,FALSE))*$AE5</f>
        <v>#N/A</v>
      </c>
      <c r="CK5" s="323" t="e">
        <f t="shared" ref="CK5:CK20" si="9">(HLOOKUP(X5,$BY$4:$CC$14,6,FALSE))*$AE5</f>
        <v>#N/A</v>
      </c>
      <c r="CL5" s="323" t="e">
        <f t="shared" ref="CL5:CL20" si="10">(HLOOKUP(Y5,$BY$4:$CC$14,7,FALSE))*$AE5</f>
        <v>#N/A</v>
      </c>
      <c r="CM5" s="323" t="e">
        <f t="shared" ref="CM5:CM20" si="11">(HLOOKUP(Z5,$BY$4:$CC$14,8,FALSE))*$AE5</f>
        <v>#N/A</v>
      </c>
      <c r="CN5" s="323" t="e">
        <f t="shared" ref="CN5:CN20" si="12">(HLOOKUP(AA5,$BY$4:$CC$14,9,FALSE))*$AE5</f>
        <v>#N/A</v>
      </c>
      <c r="CO5" s="323" t="e">
        <f t="shared" ref="CO5:CO20" si="13">(HLOOKUP(AB5,$BY$4:$CC$14,10,FALSE))*$AE5</f>
        <v>#N/A</v>
      </c>
      <c r="CP5" s="323" t="e">
        <f t="shared" ref="CP5:CP20" si="14">(HLOOKUP(AC5,$BY$4:$CC$14,11,FALSE))*$AE5</f>
        <v>#N/A</v>
      </c>
      <c r="CQ5" s="324" t="e">
        <f>SUM(CG5:CP5)</f>
        <v>#N/A</v>
      </c>
      <c r="CR5" s="325" t="e">
        <f>(HLOOKUP($AI5,'Inflation Adjustments'!$M$3:$BT$4,2,TRUE))*CG5</f>
        <v>#N/A</v>
      </c>
      <c r="CS5" s="325" t="e">
        <f>(HLOOKUP($AI5,'Inflation Adjustments'!$M$3:$BT$4,2,TRUE))*CH5</f>
        <v>#N/A</v>
      </c>
      <c r="CT5" s="325" t="e">
        <f>(HLOOKUP($AI5,'Inflation Adjustments'!$M$3:$BT$4,2,TRUE))*CI5</f>
        <v>#N/A</v>
      </c>
      <c r="CU5" s="325" t="e">
        <f>(HLOOKUP($AI5,'Inflation Adjustments'!$M$3:$BT$4,2,TRUE))*CJ5</f>
        <v>#N/A</v>
      </c>
      <c r="CV5" s="325" t="e">
        <f>(HLOOKUP($AI5,'Inflation Adjustments'!$M$3:$BT$4,2,TRUE))*CK5</f>
        <v>#N/A</v>
      </c>
      <c r="CW5" s="325" t="e">
        <f>(HLOOKUP($AI5,'Inflation Adjustments'!$M$3:$BT$4,2,TRUE))*CL5</f>
        <v>#N/A</v>
      </c>
      <c r="CX5" s="325" t="e">
        <f>(HLOOKUP($AI5,'Inflation Adjustments'!$M$3:$BT$4,2,TRUE))*CM5</f>
        <v>#N/A</v>
      </c>
      <c r="CY5" s="325" t="e">
        <f>(HLOOKUP($AI5,'Inflation Adjustments'!$M$3:$BT$4,2,TRUE))*CN5</f>
        <v>#N/A</v>
      </c>
      <c r="CZ5" s="325" t="e">
        <f>(HLOOKUP($AI5,'Inflation Adjustments'!$M$3:$BT$4,2,TRUE))*CO5</f>
        <v>#N/A</v>
      </c>
      <c r="DA5" s="325" t="e">
        <f>(HLOOKUP($AI5,'Inflation Adjustments'!$M$3:$BT$4,2,TRUE))*CP5</f>
        <v>#N/A</v>
      </c>
      <c r="DB5" s="325" t="e">
        <f>SUM(CR5:DA5)</f>
        <v>#N/A</v>
      </c>
      <c r="DC5" s="326">
        <f t="shared" ref="DC5:DC20" si="15">IF(($C$1-AI5-1)&lt;0,0,$C$1-AI5-1)</f>
        <v>2022</v>
      </c>
      <c r="DD5" s="323" t="e">
        <f t="shared" ref="DD5:DD20" si="16">(HLOOKUP(T5,$CC$4:$CF$14,2,FALSE))</f>
        <v>#N/A</v>
      </c>
      <c r="DE5" s="323" t="e">
        <f t="shared" ref="DE5:DE20" si="17">(HLOOKUP(U5,$CC$4:$CF$14,3,FALSE))</f>
        <v>#N/A</v>
      </c>
      <c r="DF5" s="323" t="e">
        <f t="shared" ref="DF5:DF20" si="18">(HLOOKUP(V5,$CC$4:$CF$14,4,FALSE))</f>
        <v>#N/A</v>
      </c>
      <c r="DG5" s="323" t="e">
        <f t="shared" ref="DG5:DG20" si="19">(HLOOKUP(W5,$CC$4:$CF$14,5,FALSE))</f>
        <v>#N/A</v>
      </c>
      <c r="DH5" s="323" t="e">
        <f t="shared" ref="DH5:DH20" si="20">(HLOOKUP(X5,$CC$4:$CF$14,6,FALSE))</f>
        <v>#N/A</v>
      </c>
      <c r="DI5" s="323" t="e">
        <f t="shared" ref="DI5:DI20" si="21">(HLOOKUP(Y5,$CC$4:$CF$14,7,FALSE))</f>
        <v>#N/A</v>
      </c>
      <c r="DJ5" s="323" t="e">
        <f t="shared" ref="DJ5:DK20" si="22">(HLOOKUP(Z5,$CC$4:$CF$14,8,FALSE))</f>
        <v>#N/A</v>
      </c>
      <c r="DK5" s="323" t="e">
        <f t="shared" si="22"/>
        <v>#N/A</v>
      </c>
      <c r="DL5" s="323" t="e">
        <f t="shared" ref="DL5:DL20" si="23">(HLOOKUP(AB5,$CC$4:$CF$14,9))</f>
        <v>#N/A</v>
      </c>
      <c r="DM5" s="323" t="e">
        <f t="shared" ref="DM5:DM20" si="24">(HLOOKUP(AC5,$CC$4:$CF$14,10))</f>
        <v>#N/A</v>
      </c>
      <c r="DN5" s="327" t="e">
        <f t="shared" ref="DN5:DW20" si="25">CR5/DD5</f>
        <v>#N/A</v>
      </c>
      <c r="DO5" s="327" t="e">
        <f t="shared" si="25"/>
        <v>#N/A</v>
      </c>
      <c r="DP5" s="327" t="e">
        <f t="shared" si="25"/>
        <v>#N/A</v>
      </c>
      <c r="DQ5" s="327" t="e">
        <f t="shared" si="25"/>
        <v>#N/A</v>
      </c>
      <c r="DR5" s="327" t="e">
        <f t="shared" si="25"/>
        <v>#N/A</v>
      </c>
      <c r="DS5" s="327" t="e">
        <f t="shared" si="25"/>
        <v>#N/A</v>
      </c>
      <c r="DT5" s="327" t="e">
        <f t="shared" si="25"/>
        <v>#N/A</v>
      </c>
      <c r="DU5" s="327" t="e">
        <f t="shared" si="25"/>
        <v>#N/A</v>
      </c>
      <c r="DV5" s="327" t="e">
        <f t="shared" si="25"/>
        <v>#N/A</v>
      </c>
      <c r="DW5" s="327" t="e">
        <f t="shared" si="25"/>
        <v>#N/A</v>
      </c>
      <c r="DX5" s="327" t="e">
        <f>SUM(DN5:DW5)</f>
        <v>#N/A</v>
      </c>
      <c r="DY5" s="323" t="e">
        <f t="shared" ref="DY5:EH20" si="26">IF(DN5*$DC5&gt;CR5,CR5,DN5*$DC5)</f>
        <v>#N/A</v>
      </c>
      <c r="DZ5" s="323" t="e">
        <f t="shared" si="26"/>
        <v>#N/A</v>
      </c>
      <c r="EA5" s="323" t="e">
        <f t="shared" si="26"/>
        <v>#N/A</v>
      </c>
      <c r="EB5" s="323" t="e">
        <f t="shared" si="26"/>
        <v>#N/A</v>
      </c>
      <c r="EC5" s="323" t="e">
        <f t="shared" si="26"/>
        <v>#N/A</v>
      </c>
      <c r="ED5" s="323" t="e">
        <f t="shared" si="26"/>
        <v>#N/A</v>
      </c>
      <c r="EE5" s="323" t="e">
        <f t="shared" si="26"/>
        <v>#N/A</v>
      </c>
      <c r="EF5" s="323" t="e">
        <f t="shared" si="26"/>
        <v>#N/A</v>
      </c>
      <c r="EG5" s="323" t="e">
        <f t="shared" si="26"/>
        <v>#N/A</v>
      </c>
      <c r="EH5" s="323" t="e">
        <f t="shared" si="26"/>
        <v>#N/A</v>
      </c>
      <c r="EI5" s="324" t="e">
        <f>SUM(DY5:EH5)</f>
        <v>#N/A</v>
      </c>
      <c r="EJ5" s="327" t="e">
        <f t="shared" ref="EJ5:ES20" si="27">IF(DN5&lt;(CR5-DY5),DN5,(CR5-DY5))</f>
        <v>#N/A</v>
      </c>
      <c r="EK5" s="327" t="e">
        <f t="shared" si="27"/>
        <v>#N/A</v>
      </c>
      <c r="EL5" s="327" t="e">
        <f t="shared" si="27"/>
        <v>#N/A</v>
      </c>
      <c r="EM5" s="327" t="e">
        <f t="shared" si="27"/>
        <v>#N/A</v>
      </c>
      <c r="EN5" s="327" t="e">
        <f t="shared" si="27"/>
        <v>#N/A</v>
      </c>
      <c r="EO5" s="327" t="e">
        <f t="shared" si="27"/>
        <v>#N/A</v>
      </c>
      <c r="EP5" s="327" t="e">
        <f t="shared" si="27"/>
        <v>#N/A</v>
      </c>
      <c r="EQ5" s="327" t="e">
        <f t="shared" si="27"/>
        <v>#N/A</v>
      </c>
      <c r="ER5" s="327" t="e">
        <f t="shared" si="27"/>
        <v>#N/A</v>
      </c>
      <c r="ES5" s="327" t="e">
        <f t="shared" si="27"/>
        <v>#N/A</v>
      </c>
      <c r="ET5" s="325" t="e">
        <f>SUM(EJ5:ES5)</f>
        <v>#N/A</v>
      </c>
      <c r="EU5" s="328">
        <f>AK5</f>
        <v>0</v>
      </c>
      <c r="EV5" s="324">
        <v>100000</v>
      </c>
      <c r="EW5" s="328" t="e">
        <f>DF5</f>
        <v>#N/A</v>
      </c>
      <c r="EX5" s="328"/>
      <c r="EY5" s="323" t="e">
        <f>EV5/EW5</f>
        <v>#N/A</v>
      </c>
      <c r="EZ5" s="323" t="e">
        <f>IF(EX5*EY5&lt;EV5,EX5*EY5,EV5)</f>
        <v>#N/A</v>
      </c>
      <c r="FA5" s="323" t="e">
        <f>IF(EY5&lt;(EV5-EZ5),EY5,(E46-EZ5))</f>
        <v>#N/A</v>
      </c>
    </row>
    <row r="6" spans="1:157" ht="70.5" customHeight="1" x14ac:dyDescent="0.3">
      <c r="A6" s="330"/>
      <c r="B6" s="318"/>
      <c r="C6" s="318"/>
      <c r="D6" s="318"/>
      <c r="E6" s="318"/>
      <c r="F6" s="318"/>
      <c r="G6" s="318"/>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8"/>
      <c r="AN6" s="318"/>
      <c r="AO6" s="318"/>
      <c r="AP6" s="318"/>
      <c r="AQ6" s="318"/>
      <c r="AR6" s="318"/>
      <c r="AS6" s="318"/>
      <c r="AT6" s="318"/>
      <c r="AU6" s="318"/>
      <c r="AV6" s="318"/>
      <c r="AW6" s="318"/>
      <c r="AX6" s="318"/>
      <c r="AY6" s="318"/>
      <c r="AZ6" s="318"/>
      <c r="BA6" s="318"/>
      <c r="BB6" s="318"/>
      <c r="BC6" s="318"/>
      <c r="BD6" s="318"/>
      <c r="BE6" s="318"/>
      <c r="BF6" s="318"/>
      <c r="BG6" s="318">
        <f>(AU6*'Condition rating weights'!H$8+AV6*'Condition rating weights'!I$8+AW6*'Condition rating weights'!J$8+AX6*'Condition rating weights'!K$8+AY6*'Condition rating weights'!L$8+AZ6*'Condition rating weights'!M$8+BA6*'Condition rating weights'!N$8+BB6*'Condition rating weights'!O$8+BC6*'Condition rating weights'!P$8+BD6*'Condition rating weights'!Q$8+BE6*'Condition rating weights'!R$8+BF6*'Condition rating weights'!S$8)/100</f>
        <v>0</v>
      </c>
      <c r="BH6" s="333"/>
      <c r="BI6" s="333"/>
      <c r="BJ6" s="333"/>
      <c r="BK6" s="333"/>
      <c r="BL6" s="333"/>
      <c r="BM6" s="333"/>
      <c r="BN6" s="333"/>
      <c r="BO6" s="333"/>
      <c r="BP6" s="333"/>
      <c r="BQ6" s="333"/>
      <c r="BR6" s="333"/>
      <c r="BS6" s="333"/>
      <c r="BT6" s="334"/>
      <c r="BU6" s="431"/>
      <c r="BX6" s="306" t="str">
        <f>'GRC and TUL Assumptions'!A6</f>
        <v>Structure</v>
      </c>
      <c r="BY6" s="305">
        <f>'GRC and TUL Assumptions'!C6</f>
        <v>500</v>
      </c>
      <c r="BZ6" s="305">
        <f>'GRC and TUL Assumptions'!D6</f>
        <v>800</v>
      </c>
      <c r="CA6" s="305">
        <f>'GRC and TUL Assumptions'!E6</f>
        <v>1500</v>
      </c>
      <c r="CB6" s="305">
        <v>0</v>
      </c>
      <c r="CC6" s="305">
        <f>'GRC and TUL Assumptions'!F6</f>
        <v>40</v>
      </c>
      <c r="CD6" s="305">
        <f>'GRC and TUL Assumptions'!G6</f>
        <v>60</v>
      </c>
      <c r="CE6" s="305">
        <f>'GRC and TUL Assumptions'!H6</f>
        <v>60</v>
      </c>
      <c r="CF6" s="305">
        <f t="shared" ref="CF6:CF14" si="28">CC6</f>
        <v>40</v>
      </c>
      <c r="CG6" s="323" t="e">
        <f t="shared" si="5"/>
        <v>#N/A</v>
      </c>
      <c r="CH6" s="323" t="e">
        <f t="shared" si="6"/>
        <v>#N/A</v>
      </c>
      <c r="CI6" s="323" t="e">
        <f t="shared" si="7"/>
        <v>#N/A</v>
      </c>
      <c r="CJ6" s="323" t="e">
        <f t="shared" si="8"/>
        <v>#N/A</v>
      </c>
      <c r="CK6" s="323" t="e">
        <f t="shared" si="9"/>
        <v>#N/A</v>
      </c>
      <c r="CL6" s="323" t="e">
        <f t="shared" si="10"/>
        <v>#N/A</v>
      </c>
      <c r="CM6" s="323" t="e">
        <f t="shared" si="11"/>
        <v>#N/A</v>
      </c>
      <c r="CN6" s="323" t="e">
        <f t="shared" si="12"/>
        <v>#N/A</v>
      </c>
      <c r="CO6" s="323" t="e">
        <f t="shared" si="13"/>
        <v>#N/A</v>
      </c>
      <c r="CP6" s="323" t="e">
        <f t="shared" si="14"/>
        <v>#N/A</v>
      </c>
      <c r="CQ6" s="324" t="e">
        <f t="shared" ref="CQ6:CQ20" si="29">SUM(CG6:CP6)</f>
        <v>#N/A</v>
      </c>
      <c r="CR6" s="325" t="e">
        <f>(HLOOKUP($AI6,'Inflation Adjustments'!$M$3:$BT$4,2,TRUE))*CG6</f>
        <v>#N/A</v>
      </c>
      <c r="CS6" s="325" t="e">
        <f>(HLOOKUP($AI6,'Inflation Adjustments'!$M$3:$BT$4,2,TRUE))*CH6</f>
        <v>#N/A</v>
      </c>
      <c r="CT6" s="325" t="e">
        <f>(HLOOKUP($AI6,'Inflation Adjustments'!$M$3:$BT$4,2,TRUE))*CI6</f>
        <v>#N/A</v>
      </c>
      <c r="CU6" s="325" t="e">
        <f>(HLOOKUP($AI6,'Inflation Adjustments'!$M$3:$BT$4,2,TRUE))*CJ6</f>
        <v>#N/A</v>
      </c>
      <c r="CV6" s="325" t="e">
        <f>(HLOOKUP($AI6,'Inflation Adjustments'!$M$3:$BT$4,2,TRUE))*CK6</f>
        <v>#N/A</v>
      </c>
      <c r="CW6" s="325" t="e">
        <f>(HLOOKUP($AI6,'Inflation Adjustments'!$M$3:$BT$4,2,TRUE))*CL6</f>
        <v>#N/A</v>
      </c>
      <c r="CX6" s="325" t="e">
        <f>(HLOOKUP($AI6,'Inflation Adjustments'!$M$3:$BT$4,2,TRUE))*CM6</f>
        <v>#N/A</v>
      </c>
      <c r="CY6" s="325" t="e">
        <f>(HLOOKUP($AI6,'Inflation Adjustments'!$M$3:$BT$4,2,TRUE))*CN6</f>
        <v>#N/A</v>
      </c>
      <c r="CZ6" s="325" t="e">
        <f>(HLOOKUP($AI6,'Inflation Adjustments'!$M$3:$BT$4,2,TRUE))*CO6</f>
        <v>#N/A</v>
      </c>
      <c r="DA6" s="325" t="e">
        <f>(HLOOKUP($AI6,'Inflation Adjustments'!$M$3:$BT$4,2,TRUE))*CP6</f>
        <v>#N/A</v>
      </c>
      <c r="DB6" s="325" t="e">
        <f t="shared" ref="DB6:DB20" si="30">SUM(CR6:DA6)</f>
        <v>#N/A</v>
      </c>
      <c r="DC6" s="326">
        <f t="shared" si="15"/>
        <v>2022</v>
      </c>
      <c r="DD6" s="323" t="e">
        <f t="shared" si="16"/>
        <v>#N/A</v>
      </c>
      <c r="DE6" s="323" t="e">
        <f t="shared" si="17"/>
        <v>#N/A</v>
      </c>
      <c r="DF6" s="323" t="e">
        <f t="shared" si="18"/>
        <v>#N/A</v>
      </c>
      <c r="DG6" s="323" t="e">
        <f t="shared" si="19"/>
        <v>#N/A</v>
      </c>
      <c r="DH6" s="323" t="e">
        <f t="shared" si="20"/>
        <v>#N/A</v>
      </c>
      <c r="DI6" s="323" t="e">
        <f t="shared" si="21"/>
        <v>#N/A</v>
      </c>
      <c r="DJ6" s="323" t="e">
        <f t="shared" si="22"/>
        <v>#N/A</v>
      </c>
      <c r="DK6" s="323" t="e">
        <f t="shared" si="22"/>
        <v>#N/A</v>
      </c>
      <c r="DL6" s="323" t="e">
        <f t="shared" si="23"/>
        <v>#N/A</v>
      </c>
      <c r="DM6" s="323" t="e">
        <f t="shared" si="24"/>
        <v>#N/A</v>
      </c>
      <c r="DN6" s="327" t="e">
        <f t="shared" si="25"/>
        <v>#N/A</v>
      </c>
      <c r="DO6" s="327" t="e">
        <f t="shared" si="25"/>
        <v>#N/A</v>
      </c>
      <c r="DP6" s="327" t="e">
        <f t="shared" si="25"/>
        <v>#N/A</v>
      </c>
      <c r="DQ6" s="327" t="e">
        <f t="shared" si="25"/>
        <v>#N/A</v>
      </c>
      <c r="DR6" s="327" t="e">
        <f t="shared" si="25"/>
        <v>#N/A</v>
      </c>
      <c r="DS6" s="327" t="e">
        <f t="shared" si="25"/>
        <v>#N/A</v>
      </c>
      <c r="DT6" s="327" t="e">
        <f t="shared" si="25"/>
        <v>#N/A</v>
      </c>
      <c r="DU6" s="327" t="e">
        <f t="shared" si="25"/>
        <v>#N/A</v>
      </c>
      <c r="DV6" s="327" t="e">
        <f t="shared" si="25"/>
        <v>#N/A</v>
      </c>
      <c r="DW6" s="327" t="e">
        <f t="shared" si="25"/>
        <v>#N/A</v>
      </c>
      <c r="DX6" s="327" t="e">
        <f t="shared" ref="DX6:DX20" si="31">SUM(DN6:DW6)</f>
        <v>#N/A</v>
      </c>
      <c r="DY6" s="323" t="e">
        <f t="shared" si="26"/>
        <v>#N/A</v>
      </c>
      <c r="DZ6" s="323" t="e">
        <f t="shared" si="26"/>
        <v>#N/A</v>
      </c>
      <c r="EA6" s="323" t="e">
        <f t="shared" si="26"/>
        <v>#N/A</v>
      </c>
      <c r="EB6" s="323" t="e">
        <f t="shared" si="26"/>
        <v>#N/A</v>
      </c>
      <c r="EC6" s="323" t="e">
        <f t="shared" si="26"/>
        <v>#N/A</v>
      </c>
      <c r="ED6" s="323" t="e">
        <f t="shared" si="26"/>
        <v>#N/A</v>
      </c>
      <c r="EE6" s="323" t="e">
        <f t="shared" si="26"/>
        <v>#N/A</v>
      </c>
      <c r="EF6" s="323" t="e">
        <f t="shared" si="26"/>
        <v>#N/A</v>
      </c>
      <c r="EG6" s="323" t="e">
        <f t="shared" si="26"/>
        <v>#N/A</v>
      </c>
      <c r="EH6" s="323" t="e">
        <f t="shared" si="26"/>
        <v>#N/A</v>
      </c>
      <c r="EI6" s="324" t="e">
        <f t="shared" ref="EI6:EI20" si="32">SUM(DY6:EH6)</f>
        <v>#N/A</v>
      </c>
      <c r="EJ6" s="327" t="e">
        <f t="shared" si="27"/>
        <v>#N/A</v>
      </c>
      <c r="EK6" s="327" t="e">
        <f t="shared" si="27"/>
        <v>#N/A</v>
      </c>
      <c r="EL6" s="327" t="e">
        <f t="shared" si="27"/>
        <v>#N/A</v>
      </c>
      <c r="EM6" s="327" t="e">
        <f t="shared" si="27"/>
        <v>#N/A</v>
      </c>
      <c r="EN6" s="327" t="e">
        <f t="shared" si="27"/>
        <v>#N/A</v>
      </c>
      <c r="EO6" s="327" t="e">
        <f t="shared" si="27"/>
        <v>#N/A</v>
      </c>
      <c r="EP6" s="327" t="e">
        <f t="shared" si="27"/>
        <v>#N/A</v>
      </c>
      <c r="EQ6" s="327" t="e">
        <f t="shared" si="27"/>
        <v>#N/A</v>
      </c>
      <c r="ER6" s="327" t="e">
        <f t="shared" si="27"/>
        <v>#N/A</v>
      </c>
      <c r="ES6" s="327" t="e">
        <f t="shared" si="27"/>
        <v>#N/A</v>
      </c>
      <c r="ET6" s="325" t="e">
        <f t="shared" ref="ET6:ET20" si="33">SUM(EJ6:ES6)</f>
        <v>#N/A</v>
      </c>
      <c r="EU6" s="328"/>
      <c r="EV6" s="336"/>
      <c r="EW6" s="336"/>
      <c r="EX6" s="336"/>
      <c r="EY6" s="336"/>
      <c r="EZ6" s="336"/>
      <c r="FA6" s="336"/>
    </row>
    <row r="7" spans="1:157" ht="61.5" customHeight="1" x14ac:dyDescent="0.3">
      <c r="A7" s="330"/>
      <c r="B7" s="318"/>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8"/>
      <c r="AY7" s="318"/>
      <c r="AZ7" s="318"/>
      <c r="BA7" s="318"/>
      <c r="BB7" s="318"/>
      <c r="BC7" s="318"/>
      <c r="BD7" s="318"/>
      <c r="BE7" s="318"/>
      <c r="BF7" s="318"/>
      <c r="BG7" s="318">
        <f>(AU7*'Condition rating weights'!H$8+AV7*'Condition rating weights'!I$8+AW7*'Condition rating weights'!J$8+AX7*'Condition rating weights'!K$8+AY7*'Condition rating weights'!L$8+AZ7*'Condition rating weights'!M$8+BA7*'Condition rating weights'!N$8+BB7*'Condition rating weights'!O$8+BC7*'Condition rating weights'!P$8+BD7*'Condition rating weights'!Q$8+BE7*'Condition rating weights'!R$8+BF7*'Condition rating weights'!S$8)/100</f>
        <v>0</v>
      </c>
      <c r="BH7" s="333"/>
      <c r="BI7" s="333"/>
      <c r="BJ7" s="333"/>
      <c r="BK7" s="333"/>
      <c r="BL7" s="333"/>
      <c r="BM7" s="333"/>
      <c r="BN7" s="333"/>
      <c r="BO7" s="333"/>
      <c r="BP7" s="333"/>
      <c r="BQ7" s="333"/>
      <c r="BR7" s="333"/>
      <c r="BS7" s="333"/>
      <c r="BT7" s="334"/>
      <c r="BU7" s="431"/>
      <c r="BX7" s="306" t="str">
        <f>'GRC and TUL Assumptions'!A7</f>
        <v>Roofing</v>
      </c>
      <c r="BY7" s="305">
        <f>'GRC and TUL Assumptions'!C7</f>
        <v>100</v>
      </c>
      <c r="BZ7" s="305">
        <f>'GRC and TUL Assumptions'!D7</f>
        <v>150</v>
      </c>
      <c r="CA7" s="305">
        <f>'GRC and TUL Assumptions'!E7</f>
        <v>300</v>
      </c>
      <c r="CB7" s="305">
        <v>0</v>
      </c>
      <c r="CC7" s="305">
        <f>'GRC and TUL Assumptions'!F7</f>
        <v>10</v>
      </c>
      <c r="CD7" s="305">
        <f>'GRC and TUL Assumptions'!G7</f>
        <v>20</v>
      </c>
      <c r="CE7" s="305">
        <f>'GRC and TUL Assumptions'!H7</f>
        <v>30</v>
      </c>
      <c r="CF7" s="305">
        <f t="shared" si="28"/>
        <v>10</v>
      </c>
      <c r="CG7" s="323" t="e">
        <f t="shared" si="5"/>
        <v>#N/A</v>
      </c>
      <c r="CH7" s="323" t="e">
        <f t="shared" si="6"/>
        <v>#N/A</v>
      </c>
      <c r="CI7" s="323" t="e">
        <f t="shared" si="7"/>
        <v>#N/A</v>
      </c>
      <c r="CJ7" s="323" t="e">
        <f t="shared" si="8"/>
        <v>#N/A</v>
      </c>
      <c r="CK7" s="323" t="e">
        <f t="shared" si="9"/>
        <v>#N/A</v>
      </c>
      <c r="CL7" s="323" t="e">
        <f t="shared" si="10"/>
        <v>#N/A</v>
      </c>
      <c r="CM7" s="323" t="e">
        <f t="shared" si="11"/>
        <v>#N/A</v>
      </c>
      <c r="CN7" s="323" t="e">
        <f t="shared" si="12"/>
        <v>#N/A</v>
      </c>
      <c r="CO7" s="323" t="e">
        <f t="shared" si="13"/>
        <v>#N/A</v>
      </c>
      <c r="CP7" s="323" t="e">
        <f t="shared" si="14"/>
        <v>#N/A</v>
      </c>
      <c r="CQ7" s="324" t="e">
        <f t="shared" si="29"/>
        <v>#N/A</v>
      </c>
      <c r="CR7" s="325" t="e">
        <f>(HLOOKUP($AI7,'Inflation Adjustments'!$B$3:$BT$4,2,TRUE))*CG7</f>
        <v>#N/A</v>
      </c>
      <c r="CS7" s="325" t="e">
        <f>(HLOOKUP($AI7,'Inflation Adjustments'!$B$3:$BT$4,2,TRUE))*CH7</f>
        <v>#N/A</v>
      </c>
      <c r="CT7" s="325" t="e">
        <f>(HLOOKUP($AI7,'Inflation Adjustments'!$B$3:$BT$4,2,TRUE))*CI7</f>
        <v>#N/A</v>
      </c>
      <c r="CU7" s="325" t="e">
        <f>(HLOOKUP($AI7,'Inflation Adjustments'!$B$3:$BT$4,2,TRUE))*CJ7</f>
        <v>#N/A</v>
      </c>
      <c r="CV7" s="325" t="e">
        <f>(HLOOKUP($AI7,'Inflation Adjustments'!$B$3:$BT$4,2,TRUE))*CK7</f>
        <v>#N/A</v>
      </c>
      <c r="CW7" s="325" t="e">
        <f>(HLOOKUP($AI7,'Inflation Adjustments'!$B$3:$BT$4,2,TRUE))*CL7</f>
        <v>#N/A</v>
      </c>
      <c r="CX7" s="325" t="e">
        <f>(HLOOKUP($AI7,'Inflation Adjustments'!$B$3:$BT$4,2,TRUE))*CM7</f>
        <v>#N/A</v>
      </c>
      <c r="CY7" s="325" t="e">
        <f>(HLOOKUP($AI7,'Inflation Adjustments'!$B$3:$BT$4,2,TRUE))*CN7</f>
        <v>#N/A</v>
      </c>
      <c r="CZ7" s="325" t="e">
        <f>(HLOOKUP($AI7,'Inflation Adjustments'!$B$3:$BT$4,2,TRUE))*CO7</f>
        <v>#N/A</v>
      </c>
      <c r="DA7" s="325" t="e">
        <f>(HLOOKUP($AI7,'Inflation Adjustments'!$B$3:$BT$4,2,TRUE))*CP7</f>
        <v>#N/A</v>
      </c>
      <c r="DB7" s="325" t="e">
        <f t="shared" si="30"/>
        <v>#N/A</v>
      </c>
      <c r="DC7" s="326">
        <f t="shared" si="15"/>
        <v>2022</v>
      </c>
      <c r="DD7" s="323" t="e">
        <f t="shared" si="16"/>
        <v>#N/A</v>
      </c>
      <c r="DE7" s="323" t="e">
        <f t="shared" si="17"/>
        <v>#N/A</v>
      </c>
      <c r="DF7" s="323" t="e">
        <f t="shared" si="18"/>
        <v>#N/A</v>
      </c>
      <c r="DG7" s="323" t="e">
        <f t="shared" si="19"/>
        <v>#N/A</v>
      </c>
      <c r="DH7" s="323" t="e">
        <f t="shared" si="20"/>
        <v>#N/A</v>
      </c>
      <c r="DI7" s="323" t="e">
        <f t="shared" si="21"/>
        <v>#N/A</v>
      </c>
      <c r="DJ7" s="323" t="e">
        <f t="shared" si="22"/>
        <v>#N/A</v>
      </c>
      <c r="DK7" s="323" t="e">
        <f t="shared" si="22"/>
        <v>#N/A</v>
      </c>
      <c r="DL7" s="323" t="e">
        <f t="shared" si="23"/>
        <v>#N/A</v>
      </c>
      <c r="DM7" s="323" t="e">
        <f t="shared" si="24"/>
        <v>#N/A</v>
      </c>
      <c r="DN7" s="327" t="e">
        <f t="shared" si="25"/>
        <v>#N/A</v>
      </c>
      <c r="DO7" s="327" t="e">
        <f t="shared" si="25"/>
        <v>#N/A</v>
      </c>
      <c r="DP7" s="327" t="e">
        <f t="shared" si="25"/>
        <v>#N/A</v>
      </c>
      <c r="DQ7" s="327" t="e">
        <f t="shared" si="25"/>
        <v>#N/A</v>
      </c>
      <c r="DR7" s="327" t="e">
        <f t="shared" si="25"/>
        <v>#N/A</v>
      </c>
      <c r="DS7" s="327" t="e">
        <f t="shared" si="25"/>
        <v>#N/A</v>
      </c>
      <c r="DT7" s="327" t="e">
        <f t="shared" si="25"/>
        <v>#N/A</v>
      </c>
      <c r="DU7" s="327" t="e">
        <f t="shared" si="25"/>
        <v>#N/A</v>
      </c>
      <c r="DV7" s="327" t="e">
        <f t="shared" si="25"/>
        <v>#N/A</v>
      </c>
      <c r="DW7" s="327" t="e">
        <f t="shared" si="25"/>
        <v>#N/A</v>
      </c>
      <c r="DX7" s="327" t="e">
        <f t="shared" si="31"/>
        <v>#N/A</v>
      </c>
      <c r="DY7" s="323" t="e">
        <f t="shared" si="26"/>
        <v>#N/A</v>
      </c>
      <c r="DZ7" s="323" t="e">
        <f t="shared" si="26"/>
        <v>#N/A</v>
      </c>
      <c r="EA7" s="323" t="e">
        <f t="shared" si="26"/>
        <v>#N/A</v>
      </c>
      <c r="EB7" s="323" t="e">
        <f t="shared" si="26"/>
        <v>#N/A</v>
      </c>
      <c r="EC7" s="323" t="e">
        <f t="shared" si="26"/>
        <v>#N/A</v>
      </c>
      <c r="ED7" s="323" t="e">
        <f t="shared" si="26"/>
        <v>#N/A</v>
      </c>
      <c r="EE7" s="323" t="e">
        <f t="shared" si="26"/>
        <v>#N/A</v>
      </c>
      <c r="EF7" s="323" t="e">
        <f t="shared" si="26"/>
        <v>#N/A</v>
      </c>
      <c r="EG7" s="323" t="e">
        <f t="shared" si="26"/>
        <v>#N/A</v>
      </c>
      <c r="EH7" s="323" t="e">
        <f t="shared" si="26"/>
        <v>#N/A</v>
      </c>
      <c r="EI7" s="324" t="e">
        <f t="shared" si="32"/>
        <v>#N/A</v>
      </c>
      <c r="EJ7" s="327" t="e">
        <f t="shared" si="27"/>
        <v>#N/A</v>
      </c>
      <c r="EK7" s="327" t="e">
        <f t="shared" si="27"/>
        <v>#N/A</v>
      </c>
      <c r="EL7" s="327" t="e">
        <f t="shared" si="27"/>
        <v>#N/A</v>
      </c>
      <c r="EM7" s="327" t="e">
        <f t="shared" si="27"/>
        <v>#N/A</v>
      </c>
      <c r="EN7" s="327" t="e">
        <f t="shared" si="27"/>
        <v>#N/A</v>
      </c>
      <c r="EO7" s="327" t="e">
        <f t="shared" si="27"/>
        <v>#N/A</v>
      </c>
      <c r="EP7" s="327" t="e">
        <f t="shared" si="27"/>
        <v>#N/A</v>
      </c>
      <c r="EQ7" s="327" t="e">
        <f t="shared" si="27"/>
        <v>#N/A</v>
      </c>
      <c r="ER7" s="327" t="e">
        <f t="shared" si="27"/>
        <v>#N/A</v>
      </c>
      <c r="ES7" s="327" t="e">
        <f t="shared" si="27"/>
        <v>#N/A</v>
      </c>
      <c r="ET7" s="325" t="e">
        <f t="shared" si="33"/>
        <v>#N/A</v>
      </c>
      <c r="EU7" s="328">
        <f>AK7</f>
        <v>0</v>
      </c>
      <c r="EV7" s="324">
        <v>0</v>
      </c>
      <c r="EW7" s="323">
        <v>20</v>
      </c>
      <c r="EX7" s="328"/>
      <c r="EY7" s="323">
        <f>EV7/EW7</f>
        <v>0</v>
      </c>
      <c r="EZ7" s="323">
        <f>IF(EX7*EY7&lt;EV7,EX7*EY7,EV7)</f>
        <v>0</v>
      </c>
      <c r="FA7" s="323">
        <f>IF(EY7&lt;(EV7-EZ7),EY7,(E48-EZ7))</f>
        <v>0</v>
      </c>
    </row>
    <row r="8" spans="1:157" ht="61.5" customHeight="1" x14ac:dyDescent="0.3">
      <c r="A8" s="330"/>
      <c r="B8" s="318"/>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318"/>
      <c r="AN8" s="318"/>
      <c r="AO8" s="318"/>
      <c r="AP8" s="318"/>
      <c r="AQ8" s="318"/>
      <c r="AR8" s="318"/>
      <c r="AS8" s="318"/>
      <c r="AT8" s="318"/>
      <c r="AU8" s="318"/>
      <c r="AV8" s="318"/>
      <c r="AW8" s="318"/>
      <c r="AX8" s="318"/>
      <c r="AY8" s="318"/>
      <c r="AZ8" s="318"/>
      <c r="BA8" s="318"/>
      <c r="BB8" s="318"/>
      <c r="BC8" s="318"/>
      <c r="BD8" s="318"/>
      <c r="BE8" s="318"/>
      <c r="BF8" s="318"/>
      <c r="BG8" s="318">
        <f>(AU8*'Condition rating weights'!H$8+AV8*'Condition rating weights'!I$8+AW8*'Condition rating weights'!J$8+AX8*'Condition rating weights'!K$8+AY8*'Condition rating weights'!L$8+AZ8*'Condition rating weights'!M$8+BA8*'Condition rating weights'!N$8+BB8*'Condition rating weights'!O$8+BC8*'Condition rating weights'!P$8+BD8*'Condition rating weights'!Q$8+BE8*'Condition rating weights'!R$8+BF8*'Condition rating weights'!S$8)/100</f>
        <v>0</v>
      </c>
      <c r="BH8" s="333"/>
      <c r="BI8" s="333"/>
      <c r="BJ8" s="333"/>
      <c r="BK8" s="333"/>
      <c r="BL8" s="333"/>
      <c r="BM8" s="333"/>
      <c r="BN8" s="333"/>
      <c r="BO8" s="333"/>
      <c r="BP8" s="333"/>
      <c r="BQ8" s="333"/>
      <c r="BR8" s="333"/>
      <c r="BS8" s="333"/>
      <c r="BT8" s="334"/>
      <c r="BU8" s="431"/>
      <c r="BX8" s="306" t="str">
        <f>'GRC and TUL Assumptions'!A8</f>
        <v>Exterior Wall Cladding</v>
      </c>
      <c r="BY8" s="305">
        <f>'GRC and TUL Assumptions'!C8</f>
        <v>150</v>
      </c>
      <c r="BZ8" s="305">
        <f>'GRC and TUL Assumptions'!D8</f>
        <v>230</v>
      </c>
      <c r="CA8" s="305">
        <f>'GRC and TUL Assumptions'!E8</f>
        <v>300</v>
      </c>
      <c r="CB8" s="305">
        <v>0</v>
      </c>
      <c r="CC8" s="305">
        <f>'GRC and TUL Assumptions'!F8</f>
        <v>20</v>
      </c>
      <c r="CD8" s="305">
        <f>'GRC and TUL Assumptions'!G8</f>
        <v>30</v>
      </c>
      <c r="CE8" s="305">
        <f>'GRC and TUL Assumptions'!H8</f>
        <v>40</v>
      </c>
      <c r="CF8" s="305">
        <f t="shared" si="28"/>
        <v>20</v>
      </c>
      <c r="CG8" s="323" t="e">
        <f t="shared" si="5"/>
        <v>#N/A</v>
      </c>
      <c r="CH8" s="323" t="e">
        <f t="shared" si="6"/>
        <v>#N/A</v>
      </c>
      <c r="CI8" s="323" t="e">
        <f t="shared" si="7"/>
        <v>#N/A</v>
      </c>
      <c r="CJ8" s="323" t="e">
        <f t="shared" si="8"/>
        <v>#N/A</v>
      </c>
      <c r="CK8" s="323" t="e">
        <f t="shared" si="9"/>
        <v>#N/A</v>
      </c>
      <c r="CL8" s="323" t="e">
        <f t="shared" si="10"/>
        <v>#N/A</v>
      </c>
      <c r="CM8" s="323" t="e">
        <f t="shared" si="11"/>
        <v>#N/A</v>
      </c>
      <c r="CN8" s="323" t="e">
        <f t="shared" si="12"/>
        <v>#N/A</v>
      </c>
      <c r="CO8" s="323" t="e">
        <f t="shared" si="13"/>
        <v>#N/A</v>
      </c>
      <c r="CP8" s="323" t="e">
        <f t="shared" si="14"/>
        <v>#N/A</v>
      </c>
      <c r="CQ8" s="324" t="e">
        <f t="shared" si="29"/>
        <v>#N/A</v>
      </c>
      <c r="CR8" s="325" t="e">
        <f>(HLOOKUP($AI8,'Inflation Adjustments'!$B$3:$BT$4,2,TRUE))*CG8</f>
        <v>#N/A</v>
      </c>
      <c r="CS8" s="325" t="e">
        <f>(HLOOKUP($AI8,'Inflation Adjustments'!$B$3:$BT$4,2,TRUE))*CH8</f>
        <v>#N/A</v>
      </c>
      <c r="CT8" s="325" t="e">
        <f>(HLOOKUP($AI8,'Inflation Adjustments'!$B$3:$BT$4,2,TRUE))*CI8</f>
        <v>#N/A</v>
      </c>
      <c r="CU8" s="325" t="e">
        <f>(HLOOKUP($AI8,'Inflation Adjustments'!$B$3:$BT$4,2,TRUE))*CJ8</f>
        <v>#N/A</v>
      </c>
      <c r="CV8" s="325" t="e">
        <f>(HLOOKUP($AI8,'Inflation Adjustments'!$B$3:$BT$4,2,TRUE))*CK8</f>
        <v>#N/A</v>
      </c>
      <c r="CW8" s="325" t="e">
        <f>(HLOOKUP($AI8,'Inflation Adjustments'!$B$3:$BT$4,2,TRUE))*CL8</f>
        <v>#N/A</v>
      </c>
      <c r="CX8" s="325" t="e">
        <f>(HLOOKUP($AI8,'Inflation Adjustments'!$B$3:$BT$4,2,TRUE))*CM8</f>
        <v>#N/A</v>
      </c>
      <c r="CY8" s="325" t="e">
        <f>(HLOOKUP($AI8,'Inflation Adjustments'!$B$3:$BT$4,2,TRUE))*CN8</f>
        <v>#N/A</v>
      </c>
      <c r="CZ8" s="325" t="e">
        <f>(HLOOKUP($AI8,'Inflation Adjustments'!$B$3:$BT$4,2,TRUE))*CO8</f>
        <v>#N/A</v>
      </c>
      <c r="DA8" s="325" t="e">
        <f>(HLOOKUP($AI8,'Inflation Adjustments'!$B$3:$BT$4,2,TRUE))*CP8</f>
        <v>#N/A</v>
      </c>
      <c r="DB8" s="325" t="e">
        <f t="shared" si="30"/>
        <v>#N/A</v>
      </c>
      <c r="DC8" s="326">
        <f t="shared" si="15"/>
        <v>2022</v>
      </c>
      <c r="DD8" s="323" t="e">
        <f t="shared" si="16"/>
        <v>#N/A</v>
      </c>
      <c r="DE8" s="323" t="e">
        <f t="shared" si="17"/>
        <v>#N/A</v>
      </c>
      <c r="DF8" s="323" t="e">
        <f t="shared" si="18"/>
        <v>#N/A</v>
      </c>
      <c r="DG8" s="323" t="e">
        <f t="shared" si="19"/>
        <v>#N/A</v>
      </c>
      <c r="DH8" s="323" t="e">
        <f t="shared" si="20"/>
        <v>#N/A</v>
      </c>
      <c r="DI8" s="323" t="e">
        <f t="shared" si="21"/>
        <v>#N/A</v>
      </c>
      <c r="DJ8" s="323" t="e">
        <f t="shared" si="22"/>
        <v>#N/A</v>
      </c>
      <c r="DK8" s="323" t="e">
        <f t="shared" si="22"/>
        <v>#N/A</v>
      </c>
      <c r="DL8" s="323" t="e">
        <f t="shared" si="23"/>
        <v>#N/A</v>
      </c>
      <c r="DM8" s="323" t="e">
        <f t="shared" si="24"/>
        <v>#N/A</v>
      </c>
      <c r="DN8" s="327" t="e">
        <f t="shared" si="25"/>
        <v>#N/A</v>
      </c>
      <c r="DO8" s="327" t="e">
        <f t="shared" si="25"/>
        <v>#N/A</v>
      </c>
      <c r="DP8" s="327" t="e">
        <f t="shared" si="25"/>
        <v>#N/A</v>
      </c>
      <c r="DQ8" s="327" t="e">
        <f t="shared" si="25"/>
        <v>#N/A</v>
      </c>
      <c r="DR8" s="327" t="e">
        <f t="shared" si="25"/>
        <v>#N/A</v>
      </c>
      <c r="DS8" s="327" t="e">
        <f t="shared" si="25"/>
        <v>#N/A</v>
      </c>
      <c r="DT8" s="327" t="e">
        <f t="shared" si="25"/>
        <v>#N/A</v>
      </c>
      <c r="DU8" s="327" t="e">
        <f t="shared" si="25"/>
        <v>#N/A</v>
      </c>
      <c r="DV8" s="327" t="e">
        <f t="shared" si="25"/>
        <v>#N/A</v>
      </c>
      <c r="DW8" s="327" t="e">
        <f t="shared" si="25"/>
        <v>#N/A</v>
      </c>
      <c r="DX8" s="327" t="e">
        <f t="shared" si="31"/>
        <v>#N/A</v>
      </c>
      <c r="DY8" s="323" t="e">
        <f t="shared" si="26"/>
        <v>#N/A</v>
      </c>
      <c r="DZ8" s="323" t="e">
        <f t="shared" si="26"/>
        <v>#N/A</v>
      </c>
      <c r="EA8" s="323" t="e">
        <f t="shared" si="26"/>
        <v>#N/A</v>
      </c>
      <c r="EB8" s="323" t="e">
        <f t="shared" si="26"/>
        <v>#N/A</v>
      </c>
      <c r="EC8" s="323" t="e">
        <f t="shared" si="26"/>
        <v>#N/A</v>
      </c>
      <c r="ED8" s="323" t="e">
        <f t="shared" si="26"/>
        <v>#N/A</v>
      </c>
      <c r="EE8" s="323" t="e">
        <f t="shared" si="26"/>
        <v>#N/A</v>
      </c>
      <c r="EF8" s="323" t="e">
        <f t="shared" si="26"/>
        <v>#N/A</v>
      </c>
      <c r="EG8" s="323" t="e">
        <f t="shared" si="26"/>
        <v>#N/A</v>
      </c>
      <c r="EH8" s="323" t="e">
        <f t="shared" si="26"/>
        <v>#N/A</v>
      </c>
      <c r="EI8" s="324" t="e">
        <f t="shared" si="32"/>
        <v>#N/A</v>
      </c>
      <c r="EJ8" s="327" t="e">
        <f t="shared" si="27"/>
        <v>#N/A</v>
      </c>
      <c r="EK8" s="327" t="e">
        <f t="shared" si="27"/>
        <v>#N/A</v>
      </c>
      <c r="EL8" s="327" t="e">
        <f t="shared" si="27"/>
        <v>#N/A</v>
      </c>
      <c r="EM8" s="327" t="e">
        <f t="shared" si="27"/>
        <v>#N/A</v>
      </c>
      <c r="EN8" s="327" t="e">
        <f t="shared" si="27"/>
        <v>#N/A</v>
      </c>
      <c r="EO8" s="327" t="e">
        <f t="shared" si="27"/>
        <v>#N/A</v>
      </c>
      <c r="EP8" s="327" t="e">
        <f t="shared" si="27"/>
        <v>#N/A</v>
      </c>
      <c r="EQ8" s="327" t="e">
        <f t="shared" si="27"/>
        <v>#N/A</v>
      </c>
      <c r="ER8" s="327" t="e">
        <f t="shared" si="27"/>
        <v>#N/A</v>
      </c>
      <c r="ES8" s="327" t="e">
        <f t="shared" si="27"/>
        <v>#N/A</v>
      </c>
      <c r="ET8" s="325" t="e">
        <f t="shared" si="33"/>
        <v>#N/A</v>
      </c>
      <c r="EU8" s="328"/>
      <c r="EV8" s="336"/>
      <c r="EW8" s="336"/>
      <c r="EX8" s="336"/>
      <c r="EY8" s="336"/>
      <c r="EZ8" s="336"/>
      <c r="FA8" s="336"/>
    </row>
    <row r="9" spans="1:157" ht="56" customHeight="1" x14ac:dyDescent="0.3">
      <c r="A9" s="330"/>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f>(AU9*'Condition rating weights'!H$8+AV9*'Condition rating weights'!I$8+AW9*'Condition rating weights'!J$8+AX9*'Condition rating weights'!K$8+AY9*'Condition rating weights'!L$8+AZ9*'Condition rating weights'!M$8+BA9*'Condition rating weights'!N$8+BB9*'Condition rating weights'!O$8+BC9*'Condition rating weights'!P$8+BD9*'Condition rating weights'!Q$8+BE9*'Condition rating weights'!R$8+BF9*'Condition rating weights'!S$8)/100</f>
        <v>0</v>
      </c>
      <c r="BH9" s="333"/>
      <c r="BI9" s="333"/>
      <c r="BJ9" s="333"/>
      <c r="BK9" s="333"/>
      <c r="BL9" s="333"/>
      <c r="BM9" s="333"/>
      <c r="BN9" s="333"/>
      <c r="BO9" s="333"/>
      <c r="BP9" s="333"/>
      <c r="BQ9" s="333"/>
      <c r="BR9" s="333"/>
      <c r="BS9" s="333"/>
      <c r="BT9" s="334"/>
      <c r="BU9" s="431"/>
      <c r="BX9" s="306" t="str">
        <f>'GRC and TUL Assumptions'!A9</f>
        <v>Fitouts</v>
      </c>
      <c r="BY9" s="305">
        <f>'GRC and TUL Assumptions'!C9</f>
        <v>250</v>
      </c>
      <c r="BZ9" s="305">
        <f>'GRC and TUL Assumptions'!D9</f>
        <v>350</v>
      </c>
      <c r="CA9" s="305">
        <f>'GRC and TUL Assumptions'!E9</f>
        <v>500</v>
      </c>
      <c r="CB9" s="305">
        <v>0</v>
      </c>
      <c r="CC9" s="305">
        <f>'GRC and TUL Assumptions'!F9</f>
        <v>40</v>
      </c>
      <c r="CD9" s="305">
        <f>'GRC and TUL Assumptions'!G9</f>
        <v>60</v>
      </c>
      <c r="CE9" s="305">
        <f>'GRC and TUL Assumptions'!H9</f>
        <v>60</v>
      </c>
      <c r="CF9" s="305">
        <f t="shared" si="28"/>
        <v>40</v>
      </c>
      <c r="CG9" s="323" t="e">
        <f t="shared" si="5"/>
        <v>#N/A</v>
      </c>
      <c r="CH9" s="323" t="e">
        <f t="shared" si="6"/>
        <v>#N/A</v>
      </c>
      <c r="CI9" s="323" t="e">
        <f t="shared" si="7"/>
        <v>#N/A</v>
      </c>
      <c r="CJ9" s="323" t="e">
        <f t="shared" si="8"/>
        <v>#N/A</v>
      </c>
      <c r="CK9" s="323" t="e">
        <f t="shared" si="9"/>
        <v>#N/A</v>
      </c>
      <c r="CL9" s="323" t="e">
        <f t="shared" si="10"/>
        <v>#N/A</v>
      </c>
      <c r="CM9" s="323" t="e">
        <f t="shared" si="11"/>
        <v>#N/A</v>
      </c>
      <c r="CN9" s="323" t="e">
        <f t="shared" si="12"/>
        <v>#N/A</v>
      </c>
      <c r="CO9" s="323" t="e">
        <f t="shared" si="13"/>
        <v>#N/A</v>
      </c>
      <c r="CP9" s="323" t="e">
        <f t="shared" si="14"/>
        <v>#N/A</v>
      </c>
      <c r="CQ9" s="324" t="e">
        <f t="shared" si="29"/>
        <v>#N/A</v>
      </c>
      <c r="CR9" s="325" t="e">
        <f>(HLOOKUP($AI9,'Inflation Adjustments'!$B$3:$BT$4,2,TRUE))*CG9</f>
        <v>#N/A</v>
      </c>
      <c r="CS9" s="325" t="e">
        <f>(HLOOKUP($AI9,'Inflation Adjustments'!$B$3:$BT$4,2,TRUE))*CH9</f>
        <v>#N/A</v>
      </c>
      <c r="CT9" s="325" t="e">
        <f>(HLOOKUP($AI9,'Inflation Adjustments'!$B$3:$BT$4,2,TRUE))*CI9</f>
        <v>#N/A</v>
      </c>
      <c r="CU9" s="325" t="e">
        <f>(HLOOKUP($AI9,'Inflation Adjustments'!$B$3:$BT$4,2,TRUE))*CJ9</f>
        <v>#N/A</v>
      </c>
      <c r="CV9" s="325" t="e">
        <f>(HLOOKUP($AI9,'Inflation Adjustments'!$B$3:$BT$4,2,TRUE))*CK9</f>
        <v>#N/A</v>
      </c>
      <c r="CW9" s="325" t="e">
        <f>(HLOOKUP($AI9,'Inflation Adjustments'!$B$3:$BT$4,2,TRUE))*CL9</f>
        <v>#N/A</v>
      </c>
      <c r="CX9" s="325" t="e">
        <f>(HLOOKUP($AI9,'Inflation Adjustments'!$B$3:$BT$4,2,TRUE))*CM9</f>
        <v>#N/A</v>
      </c>
      <c r="CY9" s="325" t="e">
        <f>(HLOOKUP($AI9,'Inflation Adjustments'!$B$3:$BT$4,2,TRUE))*CN9</f>
        <v>#N/A</v>
      </c>
      <c r="CZ9" s="325" t="e">
        <f>(HLOOKUP($AI9,'Inflation Adjustments'!$B$3:$BT$4,2,TRUE))*CO9</f>
        <v>#N/A</v>
      </c>
      <c r="DA9" s="325" t="e">
        <f>(HLOOKUP($AI9,'Inflation Adjustments'!$B$3:$BT$4,2,TRUE))*CP9</f>
        <v>#N/A</v>
      </c>
      <c r="DB9" s="325" t="e">
        <f t="shared" si="30"/>
        <v>#N/A</v>
      </c>
      <c r="DC9" s="326">
        <f t="shared" si="15"/>
        <v>2022</v>
      </c>
      <c r="DD9" s="323" t="e">
        <f t="shared" si="16"/>
        <v>#N/A</v>
      </c>
      <c r="DE9" s="323" t="e">
        <f t="shared" si="17"/>
        <v>#N/A</v>
      </c>
      <c r="DF9" s="323" t="e">
        <f t="shared" si="18"/>
        <v>#N/A</v>
      </c>
      <c r="DG9" s="323" t="e">
        <f t="shared" si="19"/>
        <v>#N/A</v>
      </c>
      <c r="DH9" s="323" t="e">
        <f t="shared" si="20"/>
        <v>#N/A</v>
      </c>
      <c r="DI9" s="323" t="e">
        <f t="shared" si="21"/>
        <v>#N/A</v>
      </c>
      <c r="DJ9" s="323" t="e">
        <f t="shared" si="22"/>
        <v>#N/A</v>
      </c>
      <c r="DK9" s="323" t="e">
        <f t="shared" si="22"/>
        <v>#N/A</v>
      </c>
      <c r="DL9" s="323" t="e">
        <f t="shared" si="23"/>
        <v>#N/A</v>
      </c>
      <c r="DM9" s="323" t="e">
        <f t="shared" si="24"/>
        <v>#N/A</v>
      </c>
      <c r="DN9" s="327" t="e">
        <f t="shared" si="25"/>
        <v>#N/A</v>
      </c>
      <c r="DO9" s="327" t="e">
        <f t="shared" si="25"/>
        <v>#N/A</v>
      </c>
      <c r="DP9" s="327" t="e">
        <f t="shared" si="25"/>
        <v>#N/A</v>
      </c>
      <c r="DQ9" s="327" t="e">
        <f t="shared" si="25"/>
        <v>#N/A</v>
      </c>
      <c r="DR9" s="327" t="e">
        <f t="shared" si="25"/>
        <v>#N/A</v>
      </c>
      <c r="DS9" s="327" t="e">
        <f t="shared" si="25"/>
        <v>#N/A</v>
      </c>
      <c r="DT9" s="327" t="e">
        <f t="shared" si="25"/>
        <v>#N/A</v>
      </c>
      <c r="DU9" s="327" t="e">
        <f t="shared" si="25"/>
        <v>#N/A</v>
      </c>
      <c r="DV9" s="327" t="e">
        <f t="shared" si="25"/>
        <v>#N/A</v>
      </c>
      <c r="DW9" s="327" t="e">
        <f t="shared" si="25"/>
        <v>#N/A</v>
      </c>
      <c r="DX9" s="327" t="e">
        <f t="shared" si="31"/>
        <v>#N/A</v>
      </c>
      <c r="DY9" s="323" t="e">
        <f t="shared" si="26"/>
        <v>#N/A</v>
      </c>
      <c r="DZ9" s="323" t="e">
        <f t="shared" si="26"/>
        <v>#N/A</v>
      </c>
      <c r="EA9" s="323" t="e">
        <f t="shared" si="26"/>
        <v>#N/A</v>
      </c>
      <c r="EB9" s="323" t="e">
        <f t="shared" si="26"/>
        <v>#N/A</v>
      </c>
      <c r="EC9" s="323" t="e">
        <f t="shared" si="26"/>
        <v>#N/A</v>
      </c>
      <c r="ED9" s="323" t="e">
        <f t="shared" si="26"/>
        <v>#N/A</v>
      </c>
      <c r="EE9" s="323" t="e">
        <f t="shared" si="26"/>
        <v>#N/A</v>
      </c>
      <c r="EF9" s="323" t="e">
        <f t="shared" si="26"/>
        <v>#N/A</v>
      </c>
      <c r="EG9" s="323" t="e">
        <f t="shared" si="26"/>
        <v>#N/A</v>
      </c>
      <c r="EH9" s="323" t="e">
        <f t="shared" si="26"/>
        <v>#N/A</v>
      </c>
      <c r="EI9" s="324" t="e">
        <f t="shared" si="32"/>
        <v>#N/A</v>
      </c>
      <c r="EJ9" s="327" t="e">
        <f t="shared" si="27"/>
        <v>#N/A</v>
      </c>
      <c r="EK9" s="327" t="e">
        <f t="shared" si="27"/>
        <v>#N/A</v>
      </c>
      <c r="EL9" s="327" t="e">
        <f t="shared" si="27"/>
        <v>#N/A</v>
      </c>
      <c r="EM9" s="327" t="e">
        <f t="shared" si="27"/>
        <v>#N/A</v>
      </c>
      <c r="EN9" s="327" t="e">
        <f t="shared" si="27"/>
        <v>#N/A</v>
      </c>
      <c r="EO9" s="327" t="e">
        <f t="shared" si="27"/>
        <v>#N/A</v>
      </c>
      <c r="EP9" s="327" t="e">
        <f t="shared" si="27"/>
        <v>#N/A</v>
      </c>
      <c r="EQ9" s="327" t="e">
        <f t="shared" si="27"/>
        <v>#N/A</v>
      </c>
      <c r="ER9" s="327" t="e">
        <f t="shared" si="27"/>
        <v>#N/A</v>
      </c>
      <c r="ES9" s="327" t="e">
        <f t="shared" si="27"/>
        <v>#N/A</v>
      </c>
      <c r="ET9" s="325" t="e">
        <f t="shared" si="33"/>
        <v>#N/A</v>
      </c>
      <c r="EU9" s="336"/>
      <c r="EV9" s="336"/>
      <c r="EW9" s="336"/>
      <c r="EX9" s="336"/>
      <c r="EY9" s="336"/>
      <c r="EZ9" s="336"/>
      <c r="FA9" s="336"/>
    </row>
    <row r="10" spans="1:157" ht="56" customHeight="1" x14ac:dyDescent="0.3">
      <c r="A10" s="330"/>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18"/>
      <c r="AV10" s="318"/>
      <c r="AW10" s="318"/>
      <c r="AX10" s="318"/>
      <c r="AY10" s="318"/>
      <c r="AZ10" s="318"/>
      <c r="BA10" s="318"/>
      <c r="BB10" s="318"/>
      <c r="BC10" s="318"/>
      <c r="BD10" s="318"/>
      <c r="BE10" s="318"/>
      <c r="BF10" s="318"/>
      <c r="BG10" s="318">
        <f>(AU10*'Condition rating weights'!H$8+AV10*'Condition rating weights'!I$8+AW10*'Condition rating weights'!J$8+AX10*'Condition rating weights'!K$8+AY10*'Condition rating weights'!L$8+AZ10*'Condition rating weights'!M$8+BA10*'Condition rating weights'!N$8+BB10*'Condition rating weights'!O$8+BC10*'Condition rating weights'!P$8+BD10*'Condition rating weights'!Q$8+BE10*'Condition rating weights'!R$8+BF10*'Condition rating weights'!S$8)/100</f>
        <v>0</v>
      </c>
      <c r="BH10" s="333"/>
      <c r="BI10" s="333"/>
      <c r="BJ10" s="333"/>
      <c r="BK10" s="333"/>
      <c r="BL10" s="333"/>
      <c r="BM10" s="333"/>
      <c r="BN10" s="333"/>
      <c r="BO10" s="333"/>
      <c r="BP10" s="333"/>
      <c r="BQ10" s="333"/>
      <c r="BR10" s="333"/>
      <c r="BS10" s="333"/>
      <c r="BT10" s="334"/>
      <c r="BU10" s="431"/>
      <c r="BX10" s="306" t="str">
        <f>'GRC and TUL Assumptions'!A10</f>
        <v>Floor Covering</v>
      </c>
      <c r="BY10" s="305">
        <f>'GRC and TUL Assumptions'!C10</f>
        <v>100</v>
      </c>
      <c r="BZ10" s="305">
        <f>'GRC and TUL Assumptions'!D10</f>
        <v>150</v>
      </c>
      <c r="CA10" s="305">
        <f>'GRC and TUL Assumptions'!E10</f>
        <v>300</v>
      </c>
      <c r="CB10" s="305">
        <v>0</v>
      </c>
      <c r="CC10" s="305">
        <f>'GRC and TUL Assumptions'!F10</f>
        <v>20</v>
      </c>
      <c r="CD10" s="305">
        <f>'GRC and TUL Assumptions'!G10</f>
        <v>30</v>
      </c>
      <c r="CE10" s="305">
        <f>'GRC and TUL Assumptions'!H10</f>
        <v>40</v>
      </c>
      <c r="CF10" s="305">
        <f t="shared" si="28"/>
        <v>20</v>
      </c>
      <c r="CG10" s="323" t="e">
        <f t="shared" si="5"/>
        <v>#N/A</v>
      </c>
      <c r="CH10" s="323" t="e">
        <f t="shared" si="6"/>
        <v>#N/A</v>
      </c>
      <c r="CI10" s="323" t="e">
        <f t="shared" si="7"/>
        <v>#N/A</v>
      </c>
      <c r="CJ10" s="323" t="e">
        <f t="shared" si="8"/>
        <v>#N/A</v>
      </c>
      <c r="CK10" s="323" t="e">
        <f t="shared" si="9"/>
        <v>#N/A</v>
      </c>
      <c r="CL10" s="323" t="e">
        <f t="shared" si="10"/>
        <v>#N/A</v>
      </c>
      <c r="CM10" s="323" t="e">
        <f t="shared" si="11"/>
        <v>#N/A</v>
      </c>
      <c r="CN10" s="323" t="e">
        <f t="shared" si="12"/>
        <v>#N/A</v>
      </c>
      <c r="CO10" s="323" t="e">
        <f t="shared" si="13"/>
        <v>#N/A</v>
      </c>
      <c r="CP10" s="323" t="e">
        <f t="shared" si="14"/>
        <v>#N/A</v>
      </c>
      <c r="CQ10" s="324" t="e">
        <f t="shared" si="29"/>
        <v>#N/A</v>
      </c>
      <c r="CR10" s="325" t="e">
        <f>(HLOOKUP($AI10,'Inflation Adjustments'!$B$3:$BT$4,2,TRUE))*CG10</f>
        <v>#N/A</v>
      </c>
      <c r="CS10" s="325" t="e">
        <f>(HLOOKUP($AI10,'Inflation Adjustments'!$B$3:$BT$4,2,TRUE))*CH10</f>
        <v>#N/A</v>
      </c>
      <c r="CT10" s="325" t="e">
        <f>(HLOOKUP($AI10,'Inflation Adjustments'!$B$3:$BT$4,2,TRUE))*CI10</f>
        <v>#N/A</v>
      </c>
      <c r="CU10" s="325" t="e">
        <f>(HLOOKUP($AI10,'Inflation Adjustments'!$B$3:$BT$4,2,TRUE))*CJ10</f>
        <v>#N/A</v>
      </c>
      <c r="CV10" s="325" t="e">
        <f>(HLOOKUP($AI10,'Inflation Adjustments'!$B$3:$BT$4,2,TRUE))*CK10</f>
        <v>#N/A</v>
      </c>
      <c r="CW10" s="325" t="e">
        <f>(HLOOKUP($AI10,'Inflation Adjustments'!$B$3:$BT$4,2,TRUE))*CL10</f>
        <v>#N/A</v>
      </c>
      <c r="CX10" s="325" t="e">
        <f>(HLOOKUP($AI10,'Inflation Adjustments'!$B$3:$BT$4,2,TRUE))*CM10</f>
        <v>#N/A</v>
      </c>
      <c r="CY10" s="325" t="e">
        <f>(HLOOKUP($AI10,'Inflation Adjustments'!$B$3:$BT$4,2,TRUE))*CN10</f>
        <v>#N/A</v>
      </c>
      <c r="CZ10" s="325" t="e">
        <f>(HLOOKUP($AI10,'Inflation Adjustments'!$B$3:$BT$4,2,TRUE))*CO10</f>
        <v>#N/A</v>
      </c>
      <c r="DA10" s="325" t="e">
        <f>(HLOOKUP($AI10,'Inflation Adjustments'!$B$3:$BT$4,2,TRUE))*CP10</f>
        <v>#N/A</v>
      </c>
      <c r="DB10" s="325" t="e">
        <f t="shared" si="30"/>
        <v>#N/A</v>
      </c>
      <c r="DC10" s="326">
        <f t="shared" si="15"/>
        <v>2022</v>
      </c>
      <c r="DD10" s="323" t="e">
        <f t="shared" si="16"/>
        <v>#N/A</v>
      </c>
      <c r="DE10" s="323" t="e">
        <f t="shared" si="17"/>
        <v>#N/A</v>
      </c>
      <c r="DF10" s="323" t="e">
        <f t="shared" si="18"/>
        <v>#N/A</v>
      </c>
      <c r="DG10" s="323" t="e">
        <f t="shared" si="19"/>
        <v>#N/A</v>
      </c>
      <c r="DH10" s="323" t="e">
        <f t="shared" si="20"/>
        <v>#N/A</v>
      </c>
      <c r="DI10" s="323" t="e">
        <f t="shared" si="21"/>
        <v>#N/A</v>
      </c>
      <c r="DJ10" s="323" t="e">
        <f t="shared" si="22"/>
        <v>#N/A</v>
      </c>
      <c r="DK10" s="323" t="e">
        <f t="shared" si="22"/>
        <v>#N/A</v>
      </c>
      <c r="DL10" s="323" t="e">
        <f t="shared" si="23"/>
        <v>#N/A</v>
      </c>
      <c r="DM10" s="323" t="e">
        <f t="shared" si="24"/>
        <v>#N/A</v>
      </c>
      <c r="DN10" s="327" t="e">
        <f t="shared" si="25"/>
        <v>#N/A</v>
      </c>
      <c r="DO10" s="327" t="e">
        <f t="shared" si="25"/>
        <v>#N/A</v>
      </c>
      <c r="DP10" s="327" t="e">
        <f t="shared" si="25"/>
        <v>#N/A</v>
      </c>
      <c r="DQ10" s="327" t="e">
        <f t="shared" si="25"/>
        <v>#N/A</v>
      </c>
      <c r="DR10" s="327" t="e">
        <f t="shared" si="25"/>
        <v>#N/A</v>
      </c>
      <c r="DS10" s="327" t="e">
        <f t="shared" si="25"/>
        <v>#N/A</v>
      </c>
      <c r="DT10" s="327" t="e">
        <f t="shared" si="25"/>
        <v>#N/A</v>
      </c>
      <c r="DU10" s="327" t="e">
        <f t="shared" si="25"/>
        <v>#N/A</v>
      </c>
      <c r="DV10" s="327" t="e">
        <f t="shared" si="25"/>
        <v>#N/A</v>
      </c>
      <c r="DW10" s="327" t="e">
        <f t="shared" si="25"/>
        <v>#N/A</v>
      </c>
      <c r="DX10" s="327" t="e">
        <f t="shared" si="31"/>
        <v>#N/A</v>
      </c>
      <c r="DY10" s="323" t="e">
        <f t="shared" si="26"/>
        <v>#N/A</v>
      </c>
      <c r="DZ10" s="323" t="e">
        <f t="shared" si="26"/>
        <v>#N/A</v>
      </c>
      <c r="EA10" s="323" t="e">
        <f t="shared" si="26"/>
        <v>#N/A</v>
      </c>
      <c r="EB10" s="323" t="e">
        <f t="shared" si="26"/>
        <v>#N/A</v>
      </c>
      <c r="EC10" s="323" t="e">
        <f t="shared" si="26"/>
        <v>#N/A</v>
      </c>
      <c r="ED10" s="323" t="e">
        <f t="shared" si="26"/>
        <v>#N/A</v>
      </c>
      <c r="EE10" s="323" t="e">
        <f t="shared" si="26"/>
        <v>#N/A</v>
      </c>
      <c r="EF10" s="323" t="e">
        <f t="shared" si="26"/>
        <v>#N/A</v>
      </c>
      <c r="EG10" s="323" t="e">
        <f t="shared" si="26"/>
        <v>#N/A</v>
      </c>
      <c r="EH10" s="323" t="e">
        <f t="shared" si="26"/>
        <v>#N/A</v>
      </c>
      <c r="EI10" s="324" t="e">
        <f t="shared" si="32"/>
        <v>#N/A</v>
      </c>
      <c r="EJ10" s="327" t="e">
        <f t="shared" si="27"/>
        <v>#N/A</v>
      </c>
      <c r="EK10" s="327" t="e">
        <f t="shared" si="27"/>
        <v>#N/A</v>
      </c>
      <c r="EL10" s="327" t="e">
        <f t="shared" si="27"/>
        <v>#N/A</v>
      </c>
      <c r="EM10" s="327" t="e">
        <f t="shared" si="27"/>
        <v>#N/A</v>
      </c>
      <c r="EN10" s="327" t="e">
        <f t="shared" si="27"/>
        <v>#N/A</v>
      </c>
      <c r="EO10" s="327" t="e">
        <f t="shared" si="27"/>
        <v>#N/A</v>
      </c>
      <c r="EP10" s="327" t="e">
        <f t="shared" si="27"/>
        <v>#N/A</v>
      </c>
      <c r="EQ10" s="327" t="e">
        <f t="shared" si="27"/>
        <v>#N/A</v>
      </c>
      <c r="ER10" s="327" t="e">
        <f t="shared" si="27"/>
        <v>#N/A</v>
      </c>
      <c r="ES10" s="327" t="e">
        <f t="shared" si="27"/>
        <v>#N/A</v>
      </c>
      <c r="ET10" s="325" t="e">
        <f t="shared" si="33"/>
        <v>#N/A</v>
      </c>
      <c r="EU10" s="336"/>
      <c r="EV10" s="336"/>
      <c r="EW10" s="336"/>
      <c r="EX10" s="336"/>
      <c r="EY10" s="336"/>
      <c r="EZ10" s="336"/>
      <c r="FA10" s="336"/>
    </row>
    <row r="11" spans="1:157" ht="56" customHeight="1" x14ac:dyDescent="0.3">
      <c r="A11" s="330"/>
      <c r="B11" s="318"/>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318"/>
      <c r="AY11" s="318"/>
      <c r="AZ11" s="318"/>
      <c r="BA11" s="318"/>
      <c r="BB11" s="318"/>
      <c r="BC11" s="318"/>
      <c r="BD11" s="318"/>
      <c r="BE11" s="318"/>
      <c r="BF11" s="318"/>
      <c r="BG11" s="318">
        <f>(AU11*'Condition rating weights'!H$8+AV11*'Condition rating weights'!I$8+AW11*'Condition rating weights'!J$8+AX11*'Condition rating weights'!K$8+AY11*'Condition rating weights'!L$8+AZ11*'Condition rating weights'!M$8+BA11*'Condition rating weights'!N$8+BB11*'Condition rating weights'!O$8+BC11*'Condition rating weights'!P$8+BD11*'Condition rating weights'!Q$8+BE11*'Condition rating weights'!R$8+BF11*'Condition rating weights'!S$8)/100</f>
        <v>0</v>
      </c>
      <c r="BH11" s="333"/>
      <c r="BI11" s="333"/>
      <c r="BJ11" s="333"/>
      <c r="BK11" s="333"/>
      <c r="BL11" s="333"/>
      <c r="BM11" s="333"/>
      <c r="BN11" s="333"/>
      <c r="BO11" s="333"/>
      <c r="BP11" s="333"/>
      <c r="BQ11" s="333"/>
      <c r="BR11" s="333"/>
      <c r="BS11" s="333"/>
      <c r="BT11" s="334"/>
      <c r="BU11" s="431"/>
      <c r="BX11" s="306" t="str">
        <f>'GRC and TUL Assumptions'!A11</f>
        <v>Service Mechanical</v>
      </c>
      <c r="BY11" s="305">
        <f>'GRC and TUL Assumptions'!C11</f>
        <v>80</v>
      </c>
      <c r="BZ11" s="305">
        <f>'GRC and TUL Assumptions'!D11</f>
        <v>100</v>
      </c>
      <c r="CA11" s="305">
        <f>'GRC and TUL Assumptions'!E11</f>
        <v>150</v>
      </c>
      <c r="CB11" s="305">
        <v>0</v>
      </c>
      <c r="CC11" s="305">
        <f>'GRC and TUL Assumptions'!F11</f>
        <v>10</v>
      </c>
      <c r="CD11" s="305">
        <f>'GRC and TUL Assumptions'!G11</f>
        <v>20</v>
      </c>
      <c r="CE11" s="305">
        <f>'GRC and TUL Assumptions'!H11</f>
        <v>30</v>
      </c>
      <c r="CF11" s="305">
        <f t="shared" si="28"/>
        <v>10</v>
      </c>
      <c r="CG11" s="323" t="e">
        <f t="shared" si="5"/>
        <v>#N/A</v>
      </c>
      <c r="CH11" s="323" t="e">
        <f t="shared" si="6"/>
        <v>#N/A</v>
      </c>
      <c r="CI11" s="323" t="e">
        <f t="shared" si="7"/>
        <v>#N/A</v>
      </c>
      <c r="CJ11" s="323" t="e">
        <f t="shared" si="8"/>
        <v>#N/A</v>
      </c>
      <c r="CK11" s="323" t="e">
        <f t="shared" si="9"/>
        <v>#N/A</v>
      </c>
      <c r="CL11" s="323" t="e">
        <f t="shared" si="10"/>
        <v>#N/A</v>
      </c>
      <c r="CM11" s="323" t="e">
        <f t="shared" si="11"/>
        <v>#N/A</v>
      </c>
      <c r="CN11" s="323" t="e">
        <f t="shared" si="12"/>
        <v>#N/A</v>
      </c>
      <c r="CO11" s="323" t="e">
        <f t="shared" si="13"/>
        <v>#N/A</v>
      </c>
      <c r="CP11" s="323" t="e">
        <f t="shared" si="14"/>
        <v>#N/A</v>
      </c>
      <c r="CQ11" s="324" t="e">
        <f t="shared" si="29"/>
        <v>#N/A</v>
      </c>
      <c r="CR11" s="325" t="e">
        <f>(HLOOKUP($AI11,'Inflation Adjustments'!$B$3:$BT$4,2,TRUE))*CG11</f>
        <v>#N/A</v>
      </c>
      <c r="CS11" s="325" t="e">
        <f>(HLOOKUP($AI11,'Inflation Adjustments'!$B$3:$BT$4,2,TRUE))*CH11</f>
        <v>#N/A</v>
      </c>
      <c r="CT11" s="325" t="e">
        <f>(HLOOKUP($AI11,'Inflation Adjustments'!$B$3:$BT$4,2,TRUE))*CI11</f>
        <v>#N/A</v>
      </c>
      <c r="CU11" s="325" t="e">
        <f>(HLOOKUP($AI11,'Inflation Adjustments'!$B$3:$BT$4,2,TRUE))*CJ11</f>
        <v>#N/A</v>
      </c>
      <c r="CV11" s="325" t="e">
        <f>(HLOOKUP($AI11,'Inflation Adjustments'!$B$3:$BT$4,2,TRUE))*CK11</f>
        <v>#N/A</v>
      </c>
      <c r="CW11" s="325" t="e">
        <f>(HLOOKUP($AI11,'Inflation Adjustments'!$B$3:$BT$4,2,TRUE))*CL11</f>
        <v>#N/A</v>
      </c>
      <c r="CX11" s="325" t="e">
        <f>(HLOOKUP($AI11,'Inflation Adjustments'!$B$3:$BT$4,2,TRUE))*CM11</f>
        <v>#N/A</v>
      </c>
      <c r="CY11" s="325" t="e">
        <f>(HLOOKUP($AI11,'Inflation Adjustments'!$B$3:$BT$4,2,TRUE))*CN11</f>
        <v>#N/A</v>
      </c>
      <c r="CZ11" s="325" t="e">
        <f>(HLOOKUP($AI11,'Inflation Adjustments'!$B$3:$BT$4,2,TRUE))*CO11</f>
        <v>#N/A</v>
      </c>
      <c r="DA11" s="325" t="e">
        <f>(HLOOKUP($AI11,'Inflation Adjustments'!$B$3:$BT$4,2,TRUE))*CP11</f>
        <v>#N/A</v>
      </c>
      <c r="DB11" s="325" t="e">
        <f t="shared" si="30"/>
        <v>#N/A</v>
      </c>
      <c r="DC11" s="326">
        <f t="shared" si="15"/>
        <v>2022</v>
      </c>
      <c r="DD11" s="323" t="e">
        <f t="shared" si="16"/>
        <v>#N/A</v>
      </c>
      <c r="DE11" s="323" t="e">
        <f t="shared" si="17"/>
        <v>#N/A</v>
      </c>
      <c r="DF11" s="323" t="e">
        <f t="shared" si="18"/>
        <v>#N/A</v>
      </c>
      <c r="DG11" s="323" t="e">
        <f t="shared" si="19"/>
        <v>#N/A</v>
      </c>
      <c r="DH11" s="323" t="e">
        <f t="shared" si="20"/>
        <v>#N/A</v>
      </c>
      <c r="DI11" s="323" t="e">
        <f t="shared" si="21"/>
        <v>#N/A</v>
      </c>
      <c r="DJ11" s="323" t="e">
        <f t="shared" si="22"/>
        <v>#N/A</v>
      </c>
      <c r="DK11" s="323" t="e">
        <f t="shared" si="22"/>
        <v>#N/A</v>
      </c>
      <c r="DL11" s="323" t="e">
        <f t="shared" si="23"/>
        <v>#N/A</v>
      </c>
      <c r="DM11" s="323" t="e">
        <f t="shared" si="24"/>
        <v>#N/A</v>
      </c>
      <c r="DN11" s="327" t="e">
        <f t="shared" si="25"/>
        <v>#N/A</v>
      </c>
      <c r="DO11" s="327" t="e">
        <f t="shared" si="25"/>
        <v>#N/A</v>
      </c>
      <c r="DP11" s="327" t="e">
        <f t="shared" si="25"/>
        <v>#N/A</v>
      </c>
      <c r="DQ11" s="327" t="e">
        <f t="shared" si="25"/>
        <v>#N/A</v>
      </c>
      <c r="DR11" s="327" t="e">
        <f t="shared" si="25"/>
        <v>#N/A</v>
      </c>
      <c r="DS11" s="327" t="e">
        <f t="shared" si="25"/>
        <v>#N/A</v>
      </c>
      <c r="DT11" s="327" t="e">
        <f t="shared" si="25"/>
        <v>#N/A</v>
      </c>
      <c r="DU11" s="327" t="e">
        <f t="shared" si="25"/>
        <v>#N/A</v>
      </c>
      <c r="DV11" s="327" t="e">
        <f t="shared" si="25"/>
        <v>#N/A</v>
      </c>
      <c r="DW11" s="327" t="e">
        <f t="shared" si="25"/>
        <v>#N/A</v>
      </c>
      <c r="DX11" s="327" t="e">
        <f t="shared" si="31"/>
        <v>#N/A</v>
      </c>
      <c r="DY11" s="323" t="e">
        <f t="shared" si="26"/>
        <v>#N/A</v>
      </c>
      <c r="DZ11" s="323" t="e">
        <f t="shared" si="26"/>
        <v>#N/A</v>
      </c>
      <c r="EA11" s="323" t="e">
        <f t="shared" si="26"/>
        <v>#N/A</v>
      </c>
      <c r="EB11" s="323" t="e">
        <f t="shared" si="26"/>
        <v>#N/A</v>
      </c>
      <c r="EC11" s="323" t="e">
        <f t="shared" si="26"/>
        <v>#N/A</v>
      </c>
      <c r="ED11" s="323" t="e">
        <f t="shared" si="26"/>
        <v>#N/A</v>
      </c>
      <c r="EE11" s="323" t="e">
        <f t="shared" si="26"/>
        <v>#N/A</v>
      </c>
      <c r="EF11" s="323" t="e">
        <f t="shared" si="26"/>
        <v>#N/A</v>
      </c>
      <c r="EG11" s="323" t="e">
        <f t="shared" si="26"/>
        <v>#N/A</v>
      </c>
      <c r="EH11" s="323" t="e">
        <f t="shared" si="26"/>
        <v>#N/A</v>
      </c>
      <c r="EI11" s="324" t="e">
        <f t="shared" si="32"/>
        <v>#N/A</v>
      </c>
      <c r="EJ11" s="327" t="e">
        <f t="shared" si="27"/>
        <v>#N/A</v>
      </c>
      <c r="EK11" s="327" t="e">
        <f t="shared" si="27"/>
        <v>#N/A</v>
      </c>
      <c r="EL11" s="327" t="e">
        <f t="shared" si="27"/>
        <v>#N/A</v>
      </c>
      <c r="EM11" s="327" t="e">
        <f t="shared" si="27"/>
        <v>#N/A</v>
      </c>
      <c r="EN11" s="327" t="e">
        <f t="shared" si="27"/>
        <v>#N/A</v>
      </c>
      <c r="EO11" s="327" t="e">
        <f t="shared" si="27"/>
        <v>#N/A</v>
      </c>
      <c r="EP11" s="327" t="e">
        <f t="shared" si="27"/>
        <v>#N/A</v>
      </c>
      <c r="EQ11" s="327" t="e">
        <f t="shared" si="27"/>
        <v>#N/A</v>
      </c>
      <c r="ER11" s="327" t="e">
        <f t="shared" si="27"/>
        <v>#N/A</v>
      </c>
      <c r="ES11" s="327" t="e">
        <f t="shared" si="27"/>
        <v>#N/A</v>
      </c>
      <c r="ET11" s="325" t="e">
        <f t="shared" si="33"/>
        <v>#N/A</v>
      </c>
      <c r="EU11" s="336"/>
      <c r="EV11" s="336"/>
      <c r="EW11" s="336"/>
      <c r="EX11" s="336"/>
      <c r="EY11" s="336"/>
      <c r="EZ11" s="336"/>
      <c r="FA11" s="336"/>
    </row>
    <row r="12" spans="1:157" ht="56" customHeight="1" x14ac:dyDescent="0.3">
      <c r="A12" s="330"/>
      <c r="B12" s="318"/>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318"/>
      <c r="AX12" s="318"/>
      <c r="AY12" s="318"/>
      <c r="AZ12" s="318"/>
      <c r="BA12" s="318"/>
      <c r="BB12" s="318"/>
      <c r="BC12" s="318"/>
      <c r="BD12" s="318"/>
      <c r="BE12" s="318"/>
      <c r="BF12" s="318"/>
      <c r="BG12" s="318">
        <f>(AU12*'Condition rating weights'!H$8+AV12*'Condition rating weights'!I$8+AW12*'Condition rating weights'!J$8+AX12*'Condition rating weights'!K$8+AY12*'Condition rating weights'!L$8+AZ12*'Condition rating weights'!M$8+BA12*'Condition rating weights'!N$8+BB12*'Condition rating weights'!O$8+BC12*'Condition rating weights'!P$8+BD12*'Condition rating weights'!Q$8+BE12*'Condition rating weights'!R$8+BF12*'Condition rating weights'!S$8)/100</f>
        <v>0</v>
      </c>
      <c r="BH12" s="333"/>
      <c r="BI12" s="333"/>
      <c r="BJ12" s="333"/>
      <c r="BK12" s="333"/>
      <c r="BL12" s="333"/>
      <c r="BM12" s="333"/>
      <c r="BN12" s="333"/>
      <c r="BO12" s="333"/>
      <c r="BP12" s="333"/>
      <c r="BQ12" s="333"/>
      <c r="BR12" s="333"/>
      <c r="BS12" s="333"/>
      <c r="BT12" s="334"/>
      <c r="BU12" s="431"/>
      <c r="BX12" s="306" t="str">
        <f>'GRC and TUL Assumptions'!A12</f>
        <v>Services Electrical</v>
      </c>
      <c r="BY12" s="305">
        <f>'GRC and TUL Assumptions'!C12</f>
        <v>80</v>
      </c>
      <c r="BZ12" s="305">
        <f>'GRC and TUL Assumptions'!D12</f>
        <v>100</v>
      </c>
      <c r="CA12" s="305">
        <f>'GRC and TUL Assumptions'!E12</f>
        <v>150</v>
      </c>
      <c r="CB12" s="305">
        <v>0</v>
      </c>
      <c r="CC12" s="305">
        <f>'GRC and TUL Assumptions'!F12</f>
        <v>20</v>
      </c>
      <c r="CD12" s="305">
        <f>'GRC and TUL Assumptions'!G12</f>
        <v>30</v>
      </c>
      <c r="CE12" s="305">
        <f>'GRC and TUL Assumptions'!H12</f>
        <v>40</v>
      </c>
      <c r="CF12" s="305">
        <f t="shared" si="28"/>
        <v>20</v>
      </c>
      <c r="CG12" s="323" t="e">
        <f t="shared" si="5"/>
        <v>#N/A</v>
      </c>
      <c r="CH12" s="323" t="e">
        <f t="shared" si="6"/>
        <v>#N/A</v>
      </c>
      <c r="CI12" s="323" t="e">
        <f t="shared" si="7"/>
        <v>#N/A</v>
      </c>
      <c r="CJ12" s="323" t="e">
        <f t="shared" si="8"/>
        <v>#N/A</v>
      </c>
      <c r="CK12" s="323" t="e">
        <f t="shared" si="9"/>
        <v>#N/A</v>
      </c>
      <c r="CL12" s="323" t="e">
        <f t="shared" si="10"/>
        <v>#N/A</v>
      </c>
      <c r="CM12" s="323" t="e">
        <f t="shared" si="11"/>
        <v>#N/A</v>
      </c>
      <c r="CN12" s="323" t="e">
        <f t="shared" si="12"/>
        <v>#N/A</v>
      </c>
      <c r="CO12" s="323" t="e">
        <f t="shared" si="13"/>
        <v>#N/A</v>
      </c>
      <c r="CP12" s="323" t="e">
        <f t="shared" si="14"/>
        <v>#N/A</v>
      </c>
      <c r="CQ12" s="324" t="e">
        <f t="shared" si="29"/>
        <v>#N/A</v>
      </c>
      <c r="CR12" s="325" t="e">
        <f>(HLOOKUP($AI12,'Inflation Adjustments'!$B$3:$BT$4,2,TRUE))*CG12</f>
        <v>#N/A</v>
      </c>
      <c r="CS12" s="325" t="e">
        <f>(HLOOKUP($AI12,'Inflation Adjustments'!$B$3:$BT$4,2,TRUE))*CH12</f>
        <v>#N/A</v>
      </c>
      <c r="CT12" s="325" t="e">
        <f>(HLOOKUP($AI12,'Inflation Adjustments'!$B$3:$BT$4,2,TRUE))*CI12</f>
        <v>#N/A</v>
      </c>
      <c r="CU12" s="325" t="e">
        <f>(HLOOKUP($AI12,'Inflation Adjustments'!$B$3:$BT$4,2,TRUE))*CJ12</f>
        <v>#N/A</v>
      </c>
      <c r="CV12" s="325" t="e">
        <f>(HLOOKUP($AI12,'Inflation Adjustments'!$B$3:$BT$4,2,TRUE))*CK12</f>
        <v>#N/A</v>
      </c>
      <c r="CW12" s="325" t="e">
        <f>(HLOOKUP($AI12,'Inflation Adjustments'!$B$3:$BT$4,2,TRUE))*CL12</f>
        <v>#N/A</v>
      </c>
      <c r="CX12" s="325" t="e">
        <f>(HLOOKUP($AI12,'Inflation Adjustments'!$B$3:$BT$4,2,TRUE))*CM12</f>
        <v>#N/A</v>
      </c>
      <c r="CY12" s="325" t="e">
        <f>(HLOOKUP($AI12,'Inflation Adjustments'!$B$3:$BT$4,2,TRUE))*CN12</f>
        <v>#N/A</v>
      </c>
      <c r="CZ12" s="325" t="e">
        <f>(HLOOKUP($AI12,'Inflation Adjustments'!$B$3:$BT$4,2,TRUE))*CO12</f>
        <v>#N/A</v>
      </c>
      <c r="DA12" s="325" t="e">
        <f>(HLOOKUP($AI12,'Inflation Adjustments'!$B$3:$BT$4,2,TRUE))*CP12</f>
        <v>#N/A</v>
      </c>
      <c r="DB12" s="325" t="e">
        <f t="shared" si="30"/>
        <v>#N/A</v>
      </c>
      <c r="DC12" s="326">
        <f t="shared" si="15"/>
        <v>2022</v>
      </c>
      <c r="DD12" s="323" t="e">
        <f t="shared" si="16"/>
        <v>#N/A</v>
      </c>
      <c r="DE12" s="323" t="e">
        <f t="shared" si="17"/>
        <v>#N/A</v>
      </c>
      <c r="DF12" s="323" t="e">
        <f t="shared" si="18"/>
        <v>#N/A</v>
      </c>
      <c r="DG12" s="323" t="e">
        <f t="shared" si="19"/>
        <v>#N/A</v>
      </c>
      <c r="DH12" s="323" t="e">
        <f t="shared" si="20"/>
        <v>#N/A</v>
      </c>
      <c r="DI12" s="323" t="e">
        <f t="shared" si="21"/>
        <v>#N/A</v>
      </c>
      <c r="DJ12" s="323" t="e">
        <f t="shared" si="22"/>
        <v>#N/A</v>
      </c>
      <c r="DK12" s="323" t="e">
        <f t="shared" si="22"/>
        <v>#N/A</v>
      </c>
      <c r="DL12" s="323" t="e">
        <f t="shared" si="23"/>
        <v>#N/A</v>
      </c>
      <c r="DM12" s="323" t="e">
        <f t="shared" si="24"/>
        <v>#N/A</v>
      </c>
      <c r="DN12" s="327" t="e">
        <f t="shared" si="25"/>
        <v>#N/A</v>
      </c>
      <c r="DO12" s="327" t="e">
        <f t="shared" si="25"/>
        <v>#N/A</v>
      </c>
      <c r="DP12" s="327" t="e">
        <f t="shared" si="25"/>
        <v>#N/A</v>
      </c>
      <c r="DQ12" s="327" t="e">
        <f t="shared" si="25"/>
        <v>#N/A</v>
      </c>
      <c r="DR12" s="327" t="e">
        <f t="shared" si="25"/>
        <v>#N/A</v>
      </c>
      <c r="DS12" s="327" t="e">
        <f t="shared" si="25"/>
        <v>#N/A</v>
      </c>
      <c r="DT12" s="327" t="e">
        <f t="shared" si="25"/>
        <v>#N/A</v>
      </c>
      <c r="DU12" s="327" t="e">
        <f t="shared" si="25"/>
        <v>#N/A</v>
      </c>
      <c r="DV12" s="327" t="e">
        <f t="shared" si="25"/>
        <v>#N/A</v>
      </c>
      <c r="DW12" s="327" t="e">
        <f t="shared" si="25"/>
        <v>#N/A</v>
      </c>
      <c r="DX12" s="327" t="e">
        <f t="shared" si="31"/>
        <v>#N/A</v>
      </c>
      <c r="DY12" s="323" t="e">
        <f t="shared" si="26"/>
        <v>#N/A</v>
      </c>
      <c r="DZ12" s="323" t="e">
        <f t="shared" si="26"/>
        <v>#N/A</v>
      </c>
      <c r="EA12" s="323" t="e">
        <f t="shared" si="26"/>
        <v>#N/A</v>
      </c>
      <c r="EB12" s="323" t="e">
        <f t="shared" si="26"/>
        <v>#N/A</v>
      </c>
      <c r="EC12" s="323" t="e">
        <f t="shared" si="26"/>
        <v>#N/A</v>
      </c>
      <c r="ED12" s="323" t="e">
        <f t="shared" si="26"/>
        <v>#N/A</v>
      </c>
      <c r="EE12" s="323" t="e">
        <f t="shared" si="26"/>
        <v>#N/A</v>
      </c>
      <c r="EF12" s="323" t="e">
        <f t="shared" si="26"/>
        <v>#N/A</v>
      </c>
      <c r="EG12" s="323" t="e">
        <f t="shared" si="26"/>
        <v>#N/A</v>
      </c>
      <c r="EH12" s="323" t="e">
        <f t="shared" si="26"/>
        <v>#N/A</v>
      </c>
      <c r="EI12" s="324" t="e">
        <f t="shared" si="32"/>
        <v>#N/A</v>
      </c>
      <c r="EJ12" s="327" t="e">
        <f t="shared" si="27"/>
        <v>#N/A</v>
      </c>
      <c r="EK12" s="327" t="e">
        <f t="shared" si="27"/>
        <v>#N/A</v>
      </c>
      <c r="EL12" s="327" t="e">
        <f t="shared" si="27"/>
        <v>#N/A</v>
      </c>
      <c r="EM12" s="327" t="e">
        <f t="shared" si="27"/>
        <v>#N/A</v>
      </c>
      <c r="EN12" s="327" t="e">
        <f t="shared" si="27"/>
        <v>#N/A</v>
      </c>
      <c r="EO12" s="327" t="e">
        <f t="shared" si="27"/>
        <v>#N/A</v>
      </c>
      <c r="EP12" s="327" t="e">
        <f t="shared" si="27"/>
        <v>#N/A</v>
      </c>
      <c r="EQ12" s="327" t="e">
        <f t="shared" si="27"/>
        <v>#N/A</v>
      </c>
      <c r="ER12" s="327" t="e">
        <f t="shared" si="27"/>
        <v>#N/A</v>
      </c>
      <c r="ES12" s="327" t="e">
        <f t="shared" si="27"/>
        <v>#N/A</v>
      </c>
      <c r="ET12" s="325" t="e">
        <f t="shared" si="33"/>
        <v>#N/A</v>
      </c>
      <c r="EU12" s="336"/>
      <c r="EV12" s="336"/>
      <c r="EW12" s="336"/>
      <c r="EX12" s="336"/>
      <c r="EY12" s="336"/>
      <c r="EZ12" s="336"/>
      <c r="FA12" s="336"/>
    </row>
    <row r="13" spans="1:157" ht="64" customHeight="1" x14ac:dyDescent="0.3">
      <c r="A13" s="330"/>
      <c r="B13" s="318"/>
      <c r="C13" s="318"/>
      <c r="D13" s="318"/>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8"/>
      <c r="AY13" s="318"/>
      <c r="AZ13" s="318"/>
      <c r="BA13" s="318"/>
      <c r="BB13" s="318"/>
      <c r="BC13" s="318"/>
      <c r="BD13" s="318"/>
      <c r="BE13" s="318"/>
      <c r="BF13" s="318"/>
      <c r="BG13" s="318">
        <f>(AU13*'Condition rating weights'!H$8+AV13*'Condition rating weights'!I$8+AW13*'Condition rating weights'!J$8+AX13*'Condition rating weights'!K$8+AY13*'Condition rating weights'!L$8+AZ13*'Condition rating weights'!M$8+BA13*'Condition rating weights'!N$8+BB13*'Condition rating weights'!O$8+BC13*'Condition rating weights'!P$8+BD13*'Condition rating weights'!Q$8+BE13*'Condition rating weights'!R$8+BF13*'Condition rating weights'!S$8)/100</f>
        <v>0</v>
      </c>
      <c r="BH13" s="333"/>
      <c r="BI13" s="333"/>
      <c r="BJ13" s="333"/>
      <c r="BK13" s="333"/>
      <c r="BL13" s="333"/>
      <c r="BM13" s="333"/>
      <c r="BN13" s="333"/>
      <c r="BO13" s="333"/>
      <c r="BP13" s="333"/>
      <c r="BQ13" s="333"/>
      <c r="BR13" s="333"/>
      <c r="BS13" s="333"/>
      <c r="BT13" s="334"/>
      <c r="BU13" s="431"/>
      <c r="BX13" s="306" t="str">
        <f>'GRC and TUL Assumptions'!A13</f>
        <v>Services Sanitation</v>
      </c>
      <c r="BY13" s="305">
        <f>'GRC and TUL Assumptions'!C13</f>
        <v>100</v>
      </c>
      <c r="BZ13" s="305">
        <f>'GRC and TUL Assumptions'!D13</f>
        <v>130</v>
      </c>
      <c r="CA13" s="305">
        <f>'GRC and TUL Assumptions'!E13</f>
        <v>150</v>
      </c>
      <c r="CB13" s="305">
        <v>0</v>
      </c>
      <c r="CC13" s="305">
        <f>'GRC and TUL Assumptions'!F13</f>
        <v>20</v>
      </c>
      <c r="CD13" s="305">
        <f>'GRC and TUL Assumptions'!G13</f>
        <v>30</v>
      </c>
      <c r="CE13" s="305">
        <f>'GRC and TUL Assumptions'!H13</f>
        <v>40</v>
      </c>
      <c r="CF13" s="305">
        <f t="shared" si="28"/>
        <v>20</v>
      </c>
      <c r="CG13" s="323" t="e">
        <f t="shared" si="5"/>
        <v>#N/A</v>
      </c>
      <c r="CH13" s="323" t="e">
        <f t="shared" si="6"/>
        <v>#N/A</v>
      </c>
      <c r="CI13" s="323" t="e">
        <f t="shared" si="7"/>
        <v>#N/A</v>
      </c>
      <c r="CJ13" s="323" t="e">
        <f t="shared" si="8"/>
        <v>#N/A</v>
      </c>
      <c r="CK13" s="323" t="e">
        <f t="shared" si="9"/>
        <v>#N/A</v>
      </c>
      <c r="CL13" s="323" t="e">
        <f t="shared" si="10"/>
        <v>#N/A</v>
      </c>
      <c r="CM13" s="323" t="e">
        <f t="shared" si="11"/>
        <v>#N/A</v>
      </c>
      <c r="CN13" s="323" t="e">
        <f t="shared" si="12"/>
        <v>#N/A</v>
      </c>
      <c r="CO13" s="323" t="e">
        <f t="shared" si="13"/>
        <v>#N/A</v>
      </c>
      <c r="CP13" s="323" t="e">
        <f t="shared" si="14"/>
        <v>#N/A</v>
      </c>
      <c r="CQ13" s="324" t="e">
        <f t="shared" si="29"/>
        <v>#N/A</v>
      </c>
      <c r="CR13" s="325" t="e">
        <f>(HLOOKUP($AI13,'Inflation Adjustments'!$B$3:$BT$4,2,TRUE))*CG13</f>
        <v>#N/A</v>
      </c>
      <c r="CS13" s="325" t="e">
        <f>(HLOOKUP($AI13,'Inflation Adjustments'!$B$3:$BT$4,2,TRUE))*CH13</f>
        <v>#N/A</v>
      </c>
      <c r="CT13" s="325" t="e">
        <f>(HLOOKUP($AI13,'Inflation Adjustments'!$B$3:$BT$4,2,TRUE))*CI13</f>
        <v>#N/A</v>
      </c>
      <c r="CU13" s="325" t="e">
        <f>(HLOOKUP($AI13,'Inflation Adjustments'!$B$3:$BT$4,2,TRUE))*CJ13</f>
        <v>#N/A</v>
      </c>
      <c r="CV13" s="325" t="e">
        <f>(HLOOKUP($AI13,'Inflation Adjustments'!$B$3:$BT$4,2,TRUE))*CK13</f>
        <v>#N/A</v>
      </c>
      <c r="CW13" s="325" t="e">
        <f>(HLOOKUP($AI13,'Inflation Adjustments'!$B$3:$BT$4,2,TRUE))*CL13</f>
        <v>#N/A</v>
      </c>
      <c r="CX13" s="325" t="e">
        <f>(HLOOKUP($AI13,'Inflation Adjustments'!$B$3:$BT$4,2,TRUE))*CM13</f>
        <v>#N/A</v>
      </c>
      <c r="CY13" s="325" t="e">
        <f>(HLOOKUP($AI13,'Inflation Adjustments'!$B$3:$BT$4,2,TRUE))*CN13</f>
        <v>#N/A</v>
      </c>
      <c r="CZ13" s="325" t="e">
        <f>(HLOOKUP($AI13,'Inflation Adjustments'!$B$3:$BT$4,2,TRUE))*CO13</f>
        <v>#N/A</v>
      </c>
      <c r="DA13" s="325" t="e">
        <f>(HLOOKUP($AI13,'Inflation Adjustments'!$B$3:$BT$4,2,TRUE))*CP13</f>
        <v>#N/A</v>
      </c>
      <c r="DB13" s="325" t="e">
        <f t="shared" si="30"/>
        <v>#N/A</v>
      </c>
      <c r="DC13" s="326">
        <f t="shared" si="15"/>
        <v>2022</v>
      </c>
      <c r="DD13" s="323" t="e">
        <f t="shared" si="16"/>
        <v>#N/A</v>
      </c>
      <c r="DE13" s="323" t="e">
        <f t="shared" si="17"/>
        <v>#N/A</v>
      </c>
      <c r="DF13" s="323" t="e">
        <f t="shared" si="18"/>
        <v>#N/A</v>
      </c>
      <c r="DG13" s="323" t="e">
        <f t="shared" si="19"/>
        <v>#N/A</v>
      </c>
      <c r="DH13" s="323" t="e">
        <f t="shared" si="20"/>
        <v>#N/A</v>
      </c>
      <c r="DI13" s="323" t="e">
        <f t="shared" si="21"/>
        <v>#N/A</v>
      </c>
      <c r="DJ13" s="323" t="e">
        <f t="shared" si="22"/>
        <v>#N/A</v>
      </c>
      <c r="DK13" s="323" t="e">
        <f t="shared" si="22"/>
        <v>#N/A</v>
      </c>
      <c r="DL13" s="323" t="e">
        <f t="shared" si="23"/>
        <v>#N/A</v>
      </c>
      <c r="DM13" s="323" t="e">
        <f t="shared" si="24"/>
        <v>#N/A</v>
      </c>
      <c r="DN13" s="327" t="e">
        <f t="shared" si="25"/>
        <v>#N/A</v>
      </c>
      <c r="DO13" s="327" t="e">
        <f t="shared" si="25"/>
        <v>#N/A</v>
      </c>
      <c r="DP13" s="327" t="e">
        <f t="shared" si="25"/>
        <v>#N/A</v>
      </c>
      <c r="DQ13" s="327" t="e">
        <f t="shared" si="25"/>
        <v>#N/A</v>
      </c>
      <c r="DR13" s="327" t="e">
        <f t="shared" si="25"/>
        <v>#N/A</v>
      </c>
      <c r="DS13" s="327" t="e">
        <f t="shared" si="25"/>
        <v>#N/A</v>
      </c>
      <c r="DT13" s="327" t="e">
        <f t="shared" si="25"/>
        <v>#N/A</v>
      </c>
      <c r="DU13" s="327" t="e">
        <f t="shared" si="25"/>
        <v>#N/A</v>
      </c>
      <c r="DV13" s="327" t="e">
        <f t="shared" si="25"/>
        <v>#N/A</v>
      </c>
      <c r="DW13" s="327" t="e">
        <f t="shared" si="25"/>
        <v>#N/A</v>
      </c>
      <c r="DX13" s="327" t="e">
        <f t="shared" si="31"/>
        <v>#N/A</v>
      </c>
      <c r="DY13" s="323" t="e">
        <f t="shared" si="26"/>
        <v>#N/A</v>
      </c>
      <c r="DZ13" s="323" t="e">
        <f t="shared" si="26"/>
        <v>#N/A</v>
      </c>
      <c r="EA13" s="323" t="e">
        <f t="shared" si="26"/>
        <v>#N/A</v>
      </c>
      <c r="EB13" s="323" t="e">
        <f t="shared" si="26"/>
        <v>#N/A</v>
      </c>
      <c r="EC13" s="323" t="e">
        <f t="shared" si="26"/>
        <v>#N/A</v>
      </c>
      <c r="ED13" s="323" t="e">
        <f t="shared" si="26"/>
        <v>#N/A</v>
      </c>
      <c r="EE13" s="323" t="e">
        <f t="shared" si="26"/>
        <v>#N/A</v>
      </c>
      <c r="EF13" s="323" t="e">
        <f t="shared" si="26"/>
        <v>#N/A</v>
      </c>
      <c r="EG13" s="323" t="e">
        <f t="shared" si="26"/>
        <v>#N/A</v>
      </c>
      <c r="EH13" s="323" t="e">
        <f t="shared" si="26"/>
        <v>#N/A</v>
      </c>
      <c r="EI13" s="324" t="e">
        <f t="shared" si="32"/>
        <v>#N/A</v>
      </c>
      <c r="EJ13" s="327" t="e">
        <f t="shared" si="27"/>
        <v>#N/A</v>
      </c>
      <c r="EK13" s="327" t="e">
        <f t="shared" si="27"/>
        <v>#N/A</v>
      </c>
      <c r="EL13" s="327" t="e">
        <f t="shared" si="27"/>
        <v>#N/A</v>
      </c>
      <c r="EM13" s="327" t="e">
        <f t="shared" si="27"/>
        <v>#N/A</v>
      </c>
      <c r="EN13" s="327" t="e">
        <f t="shared" si="27"/>
        <v>#N/A</v>
      </c>
      <c r="EO13" s="327" t="e">
        <f t="shared" si="27"/>
        <v>#N/A</v>
      </c>
      <c r="EP13" s="327" t="e">
        <f t="shared" si="27"/>
        <v>#N/A</v>
      </c>
      <c r="EQ13" s="327" t="e">
        <f t="shared" si="27"/>
        <v>#N/A</v>
      </c>
      <c r="ER13" s="327" t="e">
        <f t="shared" si="27"/>
        <v>#N/A</v>
      </c>
      <c r="ES13" s="327" t="e">
        <f t="shared" si="27"/>
        <v>#N/A</v>
      </c>
      <c r="ET13" s="325" t="e">
        <f t="shared" si="33"/>
        <v>#N/A</v>
      </c>
      <c r="EU13" s="336"/>
      <c r="EV13" s="336"/>
      <c r="EW13" s="336"/>
      <c r="EX13" s="336"/>
      <c r="EY13" s="336"/>
      <c r="EZ13" s="336"/>
      <c r="FA13" s="336"/>
    </row>
    <row r="14" spans="1:157" ht="66.5" customHeight="1" x14ac:dyDescent="0.3">
      <c r="A14" s="330"/>
      <c r="B14" s="318"/>
      <c r="C14" s="318"/>
      <c r="D14" s="318"/>
      <c r="E14" s="318"/>
      <c r="F14" s="318"/>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8"/>
      <c r="AY14" s="318"/>
      <c r="AZ14" s="318"/>
      <c r="BA14" s="318"/>
      <c r="BB14" s="318"/>
      <c r="BC14" s="318"/>
      <c r="BD14" s="318"/>
      <c r="BE14" s="318"/>
      <c r="BF14" s="318"/>
      <c r="BG14" s="318">
        <f>(AU14*'Condition rating weights'!H$8+AV14*'Condition rating weights'!I$8+AW14*'Condition rating weights'!J$8+AX14*'Condition rating weights'!K$8+AY14*'Condition rating weights'!L$8+AZ14*'Condition rating weights'!M$8+BA14*'Condition rating weights'!N$8+BB14*'Condition rating weights'!O$8+BC14*'Condition rating weights'!P$8+BD14*'Condition rating weights'!Q$8+BE14*'Condition rating weights'!R$8+BF14*'Condition rating weights'!S$8)/100</f>
        <v>0</v>
      </c>
      <c r="BH14" s="333"/>
      <c r="BI14" s="333"/>
      <c r="BJ14" s="333"/>
      <c r="BK14" s="333"/>
      <c r="BL14" s="333"/>
      <c r="BM14" s="333"/>
      <c r="BN14" s="333"/>
      <c r="BO14" s="333"/>
      <c r="BP14" s="333"/>
      <c r="BQ14" s="333"/>
      <c r="BR14" s="333"/>
      <c r="BS14" s="333"/>
      <c r="BT14" s="334"/>
      <c r="BU14" s="431"/>
      <c r="BX14" s="306" t="str">
        <f>'GRC and TUL Assumptions'!A14</f>
        <v>Services Water</v>
      </c>
      <c r="BY14" s="305">
        <f>'GRC and TUL Assumptions'!C14</f>
        <v>20</v>
      </c>
      <c r="BZ14" s="305">
        <f>'GRC and TUL Assumptions'!D14</f>
        <v>40</v>
      </c>
      <c r="CA14" s="305">
        <f>'GRC and TUL Assumptions'!E14</f>
        <v>70</v>
      </c>
      <c r="CB14" s="305">
        <v>0</v>
      </c>
      <c r="CC14" s="305">
        <f>'GRC and TUL Assumptions'!F14</f>
        <v>20</v>
      </c>
      <c r="CD14" s="305">
        <f>'GRC and TUL Assumptions'!G14</f>
        <v>30</v>
      </c>
      <c r="CE14" s="305">
        <f>'GRC and TUL Assumptions'!H14</f>
        <v>40</v>
      </c>
      <c r="CF14" s="305">
        <f t="shared" si="28"/>
        <v>20</v>
      </c>
      <c r="CG14" s="323" t="e">
        <f t="shared" si="5"/>
        <v>#N/A</v>
      </c>
      <c r="CH14" s="323" t="e">
        <f t="shared" si="6"/>
        <v>#N/A</v>
      </c>
      <c r="CI14" s="323" t="e">
        <f t="shared" si="7"/>
        <v>#N/A</v>
      </c>
      <c r="CJ14" s="323" t="e">
        <f t="shared" si="8"/>
        <v>#N/A</v>
      </c>
      <c r="CK14" s="323" t="e">
        <f t="shared" si="9"/>
        <v>#N/A</v>
      </c>
      <c r="CL14" s="323" t="e">
        <f t="shared" si="10"/>
        <v>#N/A</v>
      </c>
      <c r="CM14" s="323" t="e">
        <f t="shared" si="11"/>
        <v>#N/A</v>
      </c>
      <c r="CN14" s="323" t="e">
        <f t="shared" si="12"/>
        <v>#N/A</v>
      </c>
      <c r="CO14" s="323" t="e">
        <f t="shared" si="13"/>
        <v>#N/A</v>
      </c>
      <c r="CP14" s="323" t="e">
        <f t="shared" si="14"/>
        <v>#N/A</v>
      </c>
      <c r="CQ14" s="324" t="e">
        <f t="shared" si="29"/>
        <v>#N/A</v>
      </c>
      <c r="CR14" s="325" t="e">
        <f>(HLOOKUP($AI14,'Inflation Adjustments'!$B$3:$BT$4,2,TRUE))*CG14</f>
        <v>#N/A</v>
      </c>
      <c r="CS14" s="325" t="e">
        <f>(HLOOKUP($AI14,'Inflation Adjustments'!$B$3:$BT$4,2,TRUE))*CH14</f>
        <v>#N/A</v>
      </c>
      <c r="CT14" s="325" t="e">
        <f>(HLOOKUP($AI14,'Inflation Adjustments'!$B$3:$BT$4,2,TRUE))*CI14</f>
        <v>#N/A</v>
      </c>
      <c r="CU14" s="325" t="e">
        <f>(HLOOKUP($AI14,'Inflation Adjustments'!$B$3:$BT$4,2,TRUE))*CJ14</f>
        <v>#N/A</v>
      </c>
      <c r="CV14" s="325" t="e">
        <f>(HLOOKUP($AI14,'Inflation Adjustments'!$B$3:$BT$4,2,TRUE))*CK14</f>
        <v>#N/A</v>
      </c>
      <c r="CW14" s="325" t="e">
        <f>(HLOOKUP($AI14,'Inflation Adjustments'!$B$3:$BT$4,2,TRUE))*CL14</f>
        <v>#N/A</v>
      </c>
      <c r="CX14" s="325" t="e">
        <f>(HLOOKUP($AI14,'Inflation Adjustments'!$B$3:$BT$4,2,TRUE))*CM14</f>
        <v>#N/A</v>
      </c>
      <c r="CY14" s="325" t="e">
        <f>(HLOOKUP($AI14,'Inflation Adjustments'!$B$3:$BT$4,2,TRUE))*CN14</f>
        <v>#N/A</v>
      </c>
      <c r="CZ14" s="325" t="e">
        <f>(HLOOKUP($AI14,'Inflation Adjustments'!$B$3:$BT$4,2,TRUE))*CO14</f>
        <v>#N/A</v>
      </c>
      <c r="DA14" s="325" t="e">
        <f>(HLOOKUP($AI14,'Inflation Adjustments'!$B$3:$BT$4,2,TRUE))*CP14</f>
        <v>#N/A</v>
      </c>
      <c r="DB14" s="325" t="e">
        <f t="shared" si="30"/>
        <v>#N/A</v>
      </c>
      <c r="DC14" s="326">
        <f t="shared" si="15"/>
        <v>2022</v>
      </c>
      <c r="DD14" s="323" t="e">
        <f t="shared" si="16"/>
        <v>#N/A</v>
      </c>
      <c r="DE14" s="323" t="e">
        <f t="shared" si="17"/>
        <v>#N/A</v>
      </c>
      <c r="DF14" s="323" t="e">
        <f t="shared" si="18"/>
        <v>#N/A</v>
      </c>
      <c r="DG14" s="323" t="e">
        <f t="shared" si="19"/>
        <v>#N/A</v>
      </c>
      <c r="DH14" s="323" t="e">
        <f t="shared" si="20"/>
        <v>#N/A</v>
      </c>
      <c r="DI14" s="323" t="e">
        <f t="shared" si="21"/>
        <v>#N/A</v>
      </c>
      <c r="DJ14" s="323" t="e">
        <f t="shared" si="22"/>
        <v>#N/A</v>
      </c>
      <c r="DK14" s="323" t="e">
        <f t="shared" si="22"/>
        <v>#N/A</v>
      </c>
      <c r="DL14" s="323" t="e">
        <f t="shared" si="23"/>
        <v>#N/A</v>
      </c>
      <c r="DM14" s="323" t="e">
        <f t="shared" si="24"/>
        <v>#N/A</v>
      </c>
      <c r="DN14" s="327" t="e">
        <f t="shared" si="25"/>
        <v>#N/A</v>
      </c>
      <c r="DO14" s="327" t="e">
        <f t="shared" si="25"/>
        <v>#N/A</v>
      </c>
      <c r="DP14" s="327" t="e">
        <f t="shared" si="25"/>
        <v>#N/A</v>
      </c>
      <c r="DQ14" s="327" t="e">
        <f t="shared" si="25"/>
        <v>#N/A</v>
      </c>
      <c r="DR14" s="327" t="e">
        <f t="shared" si="25"/>
        <v>#N/A</v>
      </c>
      <c r="DS14" s="327" t="e">
        <f t="shared" si="25"/>
        <v>#N/A</v>
      </c>
      <c r="DT14" s="327" t="e">
        <f t="shared" si="25"/>
        <v>#N/A</v>
      </c>
      <c r="DU14" s="327" t="e">
        <f t="shared" si="25"/>
        <v>#N/A</v>
      </c>
      <c r="DV14" s="327" t="e">
        <f t="shared" si="25"/>
        <v>#N/A</v>
      </c>
      <c r="DW14" s="327" t="e">
        <f t="shared" si="25"/>
        <v>#N/A</v>
      </c>
      <c r="DX14" s="327" t="e">
        <f t="shared" si="31"/>
        <v>#N/A</v>
      </c>
      <c r="DY14" s="323" t="e">
        <f t="shared" si="26"/>
        <v>#N/A</v>
      </c>
      <c r="DZ14" s="323" t="e">
        <f t="shared" si="26"/>
        <v>#N/A</v>
      </c>
      <c r="EA14" s="323" t="e">
        <f t="shared" si="26"/>
        <v>#N/A</v>
      </c>
      <c r="EB14" s="323" t="e">
        <f t="shared" si="26"/>
        <v>#N/A</v>
      </c>
      <c r="EC14" s="323" t="e">
        <f t="shared" si="26"/>
        <v>#N/A</v>
      </c>
      <c r="ED14" s="323" t="e">
        <f t="shared" si="26"/>
        <v>#N/A</v>
      </c>
      <c r="EE14" s="323" t="e">
        <f t="shared" si="26"/>
        <v>#N/A</v>
      </c>
      <c r="EF14" s="323" t="e">
        <f t="shared" si="26"/>
        <v>#N/A</v>
      </c>
      <c r="EG14" s="323" t="e">
        <f t="shared" si="26"/>
        <v>#N/A</v>
      </c>
      <c r="EH14" s="323" t="e">
        <f t="shared" si="26"/>
        <v>#N/A</v>
      </c>
      <c r="EI14" s="324" t="e">
        <f t="shared" si="32"/>
        <v>#N/A</v>
      </c>
      <c r="EJ14" s="327" t="e">
        <f t="shared" si="27"/>
        <v>#N/A</v>
      </c>
      <c r="EK14" s="327" t="e">
        <f t="shared" si="27"/>
        <v>#N/A</v>
      </c>
      <c r="EL14" s="327" t="e">
        <f t="shared" si="27"/>
        <v>#N/A</v>
      </c>
      <c r="EM14" s="327" t="e">
        <f t="shared" si="27"/>
        <v>#N/A</v>
      </c>
      <c r="EN14" s="327" t="e">
        <f t="shared" si="27"/>
        <v>#N/A</v>
      </c>
      <c r="EO14" s="327" t="e">
        <f t="shared" si="27"/>
        <v>#N/A</v>
      </c>
      <c r="EP14" s="327" t="e">
        <f t="shared" si="27"/>
        <v>#N/A</v>
      </c>
      <c r="EQ14" s="327" t="e">
        <f t="shared" si="27"/>
        <v>#N/A</v>
      </c>
      <c r="ER14" s="327" t="e">
        <f t="shared" si="27"/>
        <v>#N/A</v>
      </c>
      <c r="ES14" s="327" t="e">
        <f t="shared" si="27"/>
        <v>#N/A</v>
      </c>
      <c r="ET14" s="325" t="e">
        <f t="shared" si="33"/>
        <v>#N/A</v>
      </c>
      <c r="EU14" s="336"/>
      <c r="EV14" s="336"/>
      <c r="EW14" s="336"/>
      <c r="EX14" s="336"/>
      <c r="EY14" s="336"/>
      <c r="EZ14" s="336"/>
      <c r="FA14" s="336"/>
    </row>
    <row r="15" spans="1:157" ht="56.5" customHeight="1" x14ac:dyDescent="0.3">
      <c r="A15" s="330"/>
      <c r="B15" s="318"/>
      <c r="C15" s="318"/>
      <c r="D15" s="318"/>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8"/>
      <c r="AN15" s="318"/>
      <c r="AO15" s="318"/>
      <c r="AP15" s="318"/>
      <c r="AQ15" s="318"/>
      <c r="AR15" s="318"/>
      <c r="AS15" s="318"/>
      <c r="AT15" s="318"/>
      <c r="AU15" s="318"/>
      <c r="AV15" s="318"/>
      <c r="AW15" s="318"/>
      <c r="AX15" s="318"/>
      <c r="AY15" s="318"/>
      <c r="AZ15" s="318"/>
      <c r="BA15" s="318"/>
      <c r="BB15" s="318"/>
      <c r="BC15" s="318"/>
      <c r="BD15" s="318"/>
      <c r="BE15" s="318"/>
      <c r="BF15" s="318"/>
      <c r="BG15" s="318">
        <f>(AU15*'Condition rating weights'!H$8+AV15*'Condition rating weights'!I$8+AW15*'Condition rating weights'!J$8+AX15*'Condition rating weights'!K$8+AY15*'Condition rating weights'!L$8+AZ15*'Condition rating weights'!M$8+BA15*'Condition rating weights'!N$8+BB15*'Condition rating weights'!O$8+BC15*'Condition rating weights'!P$8+BD15*'Condition rating weights'!Q$8+BE15*'Condition rating weights'!R$8+BF15*'Condition rating weights'!S$8)/100</f>
        <v>0</v>
      </c>
      <c r="BH15" s="333"/>
      <c r="BI15" s="333"/>
      <c r="BJ15" s="333"/>
      <c r="BK15" s="333"/>
      <c r="BL15" s="333"/>
      <c r="BM15" s="333"/>
      <c r="BN15" s="333"/>
      <c r="BO15" s="333"/>
      <c r="BP15" s="333"/>
      <c r="BQ15" s="333"/>
      <c r="BR15" s="333"/>
      <c r="BS15" s="333"/>
      <c r="BT15" s="334"/>
      <c r="BU15" s="431"/>
      <c r="CC15" s="290"/>
      <c r="CG15" s="323" t="e">
        <f t="shared" si="5"/>
        <v>#N/A</v>
      </c>
      <c r="CH15" s="323" t="e">
        <f t="shared" si="6"/>
        <v>#N/A</v>
      </c>
      <c r="CI15" s="323" t="e">
        <f t="shared" si="7"/>
        <v>#N/A</v>
      </c>
      <c r="CJ15" s="323" t="e">
        <f t="shared" si="8"/>
        <v>#N/A</v>
      </c>
      <c r="CK15" s="323" t="e">
        <f t="shared" si="9"/>
        <v>#N/A</v>
      </c>
      <c r="CL15" s="323" t="e">
        <f t="shared" si="10"/>
        <v>#N/A</v>
      </c>
      <c r="CM15" s="323" t="e">
        <f t="shared" si="11"/>
        <v>#N/A</v>
      </c>
      <c r="CN15" s="323" t="e">
        <f t="shared" si="12"/>
        <v>#N/A</v>
      </c>
      <c r="CO15" s="323" t="e">
        <f t="shared" si="13"/>
        <v>#N/A</v>
      </c>
      <c r="CP15" s="323" t="e">
        <f t="shared" si="14"/>
        <v>#N/A</v>
      </c>
      <c r="CQ15" s="324" t="e">
        <f t="shared" si="29"/>
        <v>#N/A</v>
      </c>
      <c r="CR15" s="325" t="e">
        <f>(HLOOKUP($AI15,'Inflation Adjustments'!$B$3:$BT$4,2,TRUE))*CG15</f>
        <v>#N/A</v>
      </c>
      <c r="CS15" s="325" t="e">
        <f>(HLOOKUP($AI15,'Inflation Adjustments'!$B$3:$BT$4,2,TRUE))*CH15</f>
        <v>#N/A</v>
      </c>
      <c r="CT15" s="325" t="e">
        <f>(HLOOKUP($AI15,'Inflation Adjustments'!$B$3:$BT$4,2,TRUE))*CI15</f>
        <v>#N/A</v>
      </c>
      <c r="CU15" s="325" t="e">
        <f>(HLOOKUP($AI15,'Inflation Adjustments'!$B$3:$BT$4,2,TRUE))*CJ15</f>
        <v>#N/A</v>
      </c>
      <c r="CV15" s="325" t="e">
        <f>(HLOOKUP($AI15,'Inflation Adjustments'!$B$3:$BT$4,2,TRUE))*CK15</f>
        <v>#N/A</v>
      </c>
      <c r="CW15" s="325" t="e">
        <f>(HLOOKUP($AI15,'Inflation Adjustments'!$B$3:$BT$4,2,TRUE))*CL15</f>
        <v>#N/A</v>
      </c>
      <c r="CX15" s="325" t="e">
        <f>(HLOOKUP($AI15,'Inflation Adjustments'!$B$3:$BT$4,2,TRUE))*CM15</f>
        <v>#N/A</v>
      </c>
      <c r="CY15" s="325" t="e">
        <f>(HLOOKUP($AI15,'Inflation Adjustments'!$B$3:$BT$4,2,TRUE))*CN15</f>
        <v>#N/A</v>
      </c>
      <c r="CZ15" s="325" t="e">
        <f>(HLOOKUP($AI15,'Inflation Adjustments'!$B$3:$BT$4,2,TRUE))*CO15</f>
        <v>#N/A</v>
      </c>
      <c r="DA15" s="325" t="e">
        <f>(HLOOKUP($AI15,'Inflation Adjustments'!$B$3:$BT$4,2,TRUE))*CP15</f>
        <v>#N/A</v>
      </c>
      <c r="DB15" s="325" t="e">
        <f t="shared" si="30"/>
        <v>#N/A</v>
      </c>
      <c r="DC15" s="326">
        <f t="shared" si="15"/>
        <v>2022</v>
      </c>
      <c r="DD15" s="323" t="e">
        <f t="shared" si="16"/>
        <v>#N/A</v>
      </c>
      <c r="DE15" s="323" t="e">
        <f t="shared" si="17"/>
        <v>#N/A</v>
      </c>
      <c r="DF15" s="323" t="e">
        <f t="shared" si="18"/>
        <v>#N/A</v>
      </c>
      <c r="DG15" s="323" t="e">
        <f t="shared" si="19"/>
        <v>#N/A</v>
      </c>
      <c r="DH15" s="323" t="e">
        <f t="shared" si="20"/>
        <v>#N/A</v>
      </c>
      <c r="DI15" s="323" t="e">
        <f t="shared" si="21"/>
        <v>#N/A</v>
      </c>
      <c r="DJ15" s="323" t="e">
        <f t="shared" si="22"/>
        <v>#N/A</v>
      </c>
      <c r="DK15" s="323" t="e">
        <f t="shared" si="22"/>
        <v>#N/A</v>
      </c>
      <c r="DL15" s="323" t="e">
        <f t="shared" si="23"/>
        <v>#N/A</v>
      </c>
      <c r="DM15" s="323" t="e">
        <f t="shared" si="24"/>
        <v>#N/A</v>
      </c>
      <c r="DN15" s="327" t="e">
        <f t="shared" si="25"/>
        <v>#N/A</v>
      </c>
      <c r="DO15" s="327" t="e">
        <f t="shared" si="25"/>
        <v>#N/A</v>
      </c>
      <c r="DP15" s="327" t="e">
        <f t="shared" si="25"/>
        <v>#N/A</v>
      </c>
      <c r="DQ15" s="327" t="e">
        <f t="shared" si="25"/>
        <v>#N/A</v>
      </c>
      <c r="DR15" s="327" t="e">
        <f t="shared" si="25"/>
        <v>#N/A</v>
      </c>
      <c r="DS15" s="327" t="e">
        <f t="shared" si="25"/>
        <v>#N/A</v>
      </c>
      <c r="DT15" s="327" t="e">
        <f t="shared" si="25"/>
        <v>#N/A</v>
      </c>
      <c r="DU15" s="327" t="e">
        <f t="shared" si="25"/>
        <v>#N/A</v>
      </c>
      <c r="DV15" s="327" t="e">
        <f t="shared" si="25"/>
        <v>#N/A</v>
      </c>
      <c r="DW15" s="327" t="e">
        <f t="shared" si="25"/>
        <v>#N/A</v>
      </c>
      <c r="DX15" s="327" t="e">
        <f t="shared" si="31"/>
        <v>#N/A</v>
      </c>
      <c r="DY15" s="323" t="e">
        <f t="shared" si="26"/>
        <v>#N/A</v>
      </c>
      <c r="DZ15" s="323" t="e">
        <f t="shared" si="26"/>
        <v>#N/A</v>
      </c>
      <c r="EA15" s="323" t="e">
        <f t="shared" si="26"/>
        <v>#N/A</v>
      </c>
      <c r="EB15" s="323" t="e">
        <f t="shared" si="26"/>
        <v>#N/A</v>
      </c>
      <c r="EC15" s="323" t="e">
        <f t="shared" si="26"/>
        <v>#N/A</v>
      </c>
      <c r="ED15" s="323" t="e">
        <f t="shared" si="26"/>
        <v>#N/A</v>
      </c>
      <c r="EE15" s="323" t="e">
        <f t="shared" si="26"/>
        <v>#N/A</v>
      </c>
      <c r="EF15" s="323" t="e">
        <f t="shared" si="26"/>
        <v>#N/A</v>
      </c>
      <c r="EG15" s="323" t="e">
        <f t="shared" si="26"/>
        <v>#N/A</v>
      </c>
      <c r="EH15" s="323" t="e">
        <f t="shared" si="26"/>
        <v>#N/A</v>
      </c>
      <c r="EI15" s="324" t="e">
        <f t="shared" si="32"/>
        <v>#N/A</v>
      </c>
      <c r="EJ15" s="327" t="e">
        <f t="shared" si="27"/>
        <v>#N/A</v>
      </c>
      <c r="EK15" s="327" t="e">
        <f t="shared" si="27"/>
        <v>#N/A</v>
      </c>
      <c r="EL15" s="327" t="e">
        <f t="shared" si="27"/>
        <v>#N/A</v>
      </c>
      <c r="EM15" s="327" t="e">
        <f t="shared" si="27"/>
        <v>#N/A</v>
      </c>
      <c r="EN15" s="327" t="e">
        <f t="shared" si="27"/>
        <v>#N/A</v>
      </c>
      <c r="EO15" s="327" t="e">
        <f t="shared" si="27"/>
        <v>#N/A</v>
      </c>
      <c r="EP15" s="327" t="e">
        <f t="shared" si="27"/>
        <v>#N/A</v>
      </c>
      <c r="EQ15" s="327" t="e">
        <f t="shared" si="27"/>
        <v>#N/A</v>
      </c>
      <c r="ER15" s="327" t="e">
        <f t="shared" si="27"/>
        <v>#N/A</v>
      </c>
      <c r="ES15" s="327" t="e">
        <f t="shared" si="27"/>
        <v>#N/A</v>
      </c>
      <c r="ET15" s="325" t="e">
        <f t="shared" si="33"/>
        <v>#N/A</v>
      </c>
      <c r="EU15" s="336"/>
      <c r="EV15" s="336"/>
      <c r="EW15" s="336"/>
      <c r="EX15" s="336"/>
      <c r="EY15" s="336"/>
      <c r="EZ15" s="336"/>
      <c r="FA15" s="336"/>
    </row>
    <row r="16" spans="1:157" ht="41.5" customHeight="1" x14ac:dyDescent="0.3">
      <c r="A16" s="330"/>
      <c r="B16" s="318"/>
      <c r="C16" s="318"/>
      <c r="D16" s="318"/>
      <c r="E16" s="318"/>
      <c r="F16" s="318"/>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18"/>
      <c r="AM16" s="318"/>
      <c r="AN16" s="318"/>
      <c r="AO16" s="318"/>
      <c r="AP16" s="318"/>
      <c r="AQ16" s="318"/>
      <c r="AR16" s="318"/>
      <c r="AS16" s="318"/>
      <c r="AT16" s="318"/>
      <c r="AU16" s="318"/>
      <c r="AV16" s="318"/>
      <c r="AW16" s="318"/>
      <c r="AX16" s="318"/>
      <c r="AY16" s="318"/>
      <c r="AZ16" s="318"/>
      <c r="BA16" s="318"/>
      <c r="BB16" s="318"/>
      <c r="BC16" s="318"/>
      <c r="BD16" s="318"/>
      <c r="BE16" s="318"/>
      <c r="BF16" s="318"/>
      <c r="BG16" s="318">
        <f>(AU16*'Condition rating weights'!H$8+AV16*'Condition rating weights'!I$8+AW16*'Condition rating weights'!J$8+AX16*'Condition rating weights'!K$8+AY16*'Condition rating weights'!L$8+AZ16*'Condition rating weights'!M$8+BA16*'Condition rating weights'!N$8+BB16*'Condition rating weights'!O$8+BC16*'Condition rating weights'!P$8+BD16*'Condition rating weights'!Q$8+BE16*'Condition rating weights'!R$8+BF16*'Condition rating weights'!S$8)/100</f>
        <v>0</v>
      </c>
      <c r="BH16" s="333"/>
      <c r="BI16" s="333"/>
      <c r="BJ16" s="333"/>
      <c r="BK16" s="333"/>
      <c r="BL16" s="333"/>
      <c r="BM16" s="333"/>
      <c r="BN16" s="333"/>
      <c r="BO16" s="333"/>
      <c r="BP16" s="333"/>
      <c r="BQ16" s="333"/>
      <c r="BR16" s="333"/>
      <c r="BS16" s="333"/>
      <c r="BT16" s="334"/>
      <c r="BU16" s="431"/>
      <c r="CG16" s="323" t="e">
        <f t="shared" si="5"/>
        <v>#N/A</v>
      </c>
      <c r="CH16" s="323" t="e">
        <f t="shared" si="6"/>
        <v>#N/A</v>
      </c>
      <c r="CI16" s="323" t="e">
        <f t="shared" si="7"/>
        <v>#N/A</v>
      </c>
      <c r="CJ16" s="323" t="e">
        <f t="shared" si="8"/>
        <v>#N/A</v>
      </c>
      <c r="CK16" s="323" t="e">
        <f t="shared" si="9"/>
        <v>#N/A</v>
      </c>
      <c r="CL16" s="323" t="e">
        <f t="shared" si="10"/>
        <v>#N/A</v>
      </c>
      <c r="CM16" s="323" t="e">
        <f t="shared" si="11"/>
        <v>#N/A</v>
      </c>
      <c r="CN16" s="323" t="e">
        <f t="shared" si="12"/>
        <v>#N/A</v>
      </c>
      <c r="CO16" s="323" t="e">
        <f t="shared" si="13"/>
        <v>#N/A</v>
      </c>
      <c r="CP16" s="323" t="e">
        <f t="shared" si="14"/>
        <v>#N/A</v>
      </c>
      <c r="CQ16" s="324" t="e">
        <f t="shared" si="29"/>
        <v>#N/A</v>
      </c>
      <c r="CR16" s="325" t="e">
        <f>(HLOOKUP($AI16,'Inflation Adjustments'!$B$3:$BT$4,2,TRUE))*CG16</f>
        <v>#N/A</v>
      </c>
      <c r="CS16" s="325" t="e">
        <f>(HLOOKUP($AI16,'Inflation Adjustments'!$B$3:$BT$4,2,TRUE))*CH16</f>
        <v>#N/A</v>
      </c>
      <c r="CT16" s="325" t="e">
        <f>(HLOOKUP($AI16,'Inflation Adjustments'!$B$3:$BT$4,2,TRUE))*CI16</f>
        <v>#N/A</v>
      </c>
      <c r="CU16" s="325" t="e">
        <f>(HLOOKUP($AI16,'Inflation Adjustments'!$B$3:$BT$4,2,TRUE))*CJ16</f>
        <v>#N/A</v>
      </c>
      <c r="CV16" s="325" t="e">
        <f>(HLOOKUP($AI16,'Inflation Adjustments'!$B$3:$BT$4,2,TRUE))*CK16</f>
        <v>#N/A</v>
      </c>
      <c r="CW16" s="325" t="e">
        <f>(HLOOKUP($AI16,'Inflation Adjustments'!$B$3:$BT$4,2,TRUE))*CL16</f>
        <v>#N/A</v>
      </c>
      <c r="CX16" s="325" t="e">
        <f>(HLOOKUP($AI16,'Inflation Adjustments'!$B$3:$BT$4,2,TRUE))*CM16</f>
        <v>#N/A</v>
      </c>
      <c r="CY16" s="325" t="e">
        <f>(HLOOKUP($AI16,'Inflation Adjustments'!$B$3:$BT$4,2,TRUE))*CN16</f>
        <v>#N/A</v>
      </c>
      <c r="CZ16" s="325" t="e">
        <f>(HLOOKUP($AI16,'Inflation Adjustments'!$B$3:$BT$4,2,TRUE))*CO16</f>
        <v>#N/A</v>
      </c>
      <c r="DA16" s="325" t="e">
        <f>(HLOOKUP($AI16,'Inflation Adjustments'!$B$3:$BT$4,2,TRUE))*CP16</f>
        <v>#N/A</v>
      </c>
      <c r="DB16" s="325" t="e">
        <f t="shared" si="30"/>
        <v>#N/A</v>
      </c>
      <c r="DC16" s="326">
        <f t="shared" si="15"/>
        <v>2022</v>
      </c>
      <c r="DD16" s="323" t="e">
        <f t="shared" si="16"/>
        <v>#N/A</v>
      </c>
      <c r="DE16" s="323" t="e">
        <f t="shared" si="17"/>
        <v>#N/A</v>
      </c>
      <c r="DF16" s="323" t="e">
        <f t="shared" si="18"/>
        <v>#N/A</v>
      </c>
      <c r="DG16" s="323" t="e">
        <f t="shared" si="19"/>
        <v>#N/A</v>
      </c>
      <c r="DH16" s="323" t="e">
        <f t="shared" si="20"/>
        <v>#N/A</v>
      </c>
      <c r="DI16" s="323" t="e">
        <f t="shared" si="21"/>
        <v>#N/A</v>
      </c>
      <c r="DJ16" s="323" t="e">
        <f t="shared" si="22"/>
        <v>#N/A</v>
      </c>
      <c r="DK16" s="323" t="e">
        <f t="shared" si="22"/>
        <v>#N/A</v>
      </c>
      <c r="DL16" s="323" t="e">
        <f t="shared" si="23"/>
        <v>#N/A</v>
      </c>
      <c r="DM16" s="323" t="e">
        <f t="shared" si="24"/>
        <v>#N/A</v>
      </c>
      <c r="DN16" s="327" t="e">
        <f t="shared" si="25"/>
        <v>#N/A</v>
      </c>
      <c r="DO16" s="327" t="e">
        <f t="shared" si="25"/>
        <v>#N/A</v>
      </c>
      <c r="DP16" s="327" t="e">
        <f t="shared" si="25"/>
        <v>#N/A</v>
      </c>
      <c r="DQ16" s="327" t="e">
        <f t="shared" si="25"/>
        <v>#N/A</v>
      </c>
      <c r="DR16" s="327" t="e">
        <f t="shared" si="25"/>
        <v>#N/A</v>
      </c>
      <c r="DS16" s="327" t="e">
        <f t="shared" si="25"/>
        <v>#N/A</v>
      </c>
      <c r="DT16" s="327" t="e">
        <f t="shared" si="25"/>
        <v>#N/A</v>
      </c>
      <c r="DU16" s="327" t="e">
        <f t="shared" si="25"/>
        <v>#N/A</v>
      </c>
      <c r="DV16" s="327" t="e">
        <f t="shared" si="25"/>
        <v>#N/A</v>
      </c>
      <c r="DW16" s="327" t="e">
        <f t="shared" si="25"/>
        <v>#N/A</v>
      </c>
      <c r="DX16" s="327" t="e">
        <f t="shared" si="31"/>
        <v>#N/A</v>
      </c>
      <c r="DY16" s="323" t="e">
        <f t="shared" si="26"/>
        <v>#N/A</v>
      </c>
      <c r="DZ16" s="323" t="e">
        <f t="shared" si="26"/>
        <v>#N/A</v>
      </c>
      <c r="EA16" s="323" t="e">
        <f t="shared" si="26"/>
        <v>#N/A</v>
      </c>
      <c r="EB16" s="323" t="e">
        <f t="shared" si="26"/>
        <v>#N/A</v>
      </c>
      <c r="EC16" s="323" t="e">
        <f t="shared" si="26"/>
        <v>#N/A</v>
      </c>
      <c r="ED16" s="323" t="e">
        <f t="shared" si="26"/>
        <v>#N/A</v>
      </c>
      <c r="EE16" s="323" t="e">
        <f t="shared" si="26"/>
        <v>#N/A</v>
      </c>
      <c r="EF16" s="323" t="e">
        <f t="shared" si="26"/>
        <v>#N/A</v>
      </c>
      <c r="EG16" s="323" t="e">
        <f t="shared" si="26"/>
        <v>#N/A</v>
      </c>
      <c r="EH16" s="323" t="e">
        <f t="shared" si="26"/>
        <v>#N/A</v>
      </c>
      <c r="EI16" s="324" t="e">
        <f t="shared" si="32"/>
        <v>#N/A</v>
      </c>
      <c r="EJ16" s="327" t="e">
        <f t="shared" si="27"/>
        <v>#N/A</v>
      </c>
      <c r="EK16" s="327" t="e">
        <f t="shared" si="27"/>
        <v>#N/A</v>
      </c>
      <c r="EL16" s="327" t="e">
        <f t="shared" si="27"/>
        <v>#N/A</v>
      </c>
      <c r="EM16" s="327" t="e">
        <f t="shared" si="27"/>
        <v>#N/A</v>
      </c>
      <c r="EN16" s="327" t="e">
        <f t="shared" si="27"/>
        <v>#N/A</v>
      </c>
      <c r="EO16" s="327" t="e">
        <f t="shared" si="27"/>
        <v>#N/A</v>
      </c>
      <c r="EP16" s="327" t="e">
        <f t="shared" si="27"/>
        <v>#N/A</v>
      </c>
      <c r="EQ16" s="327" t="e">
        <f t="shared" si="27"/>
        <v>#N/A</v>
      </c>
      <c r="ER16" s="327" t="e">
        <f t="shared" si="27"/>
        <v>#N/A</v>
      </c>
      <c r="ES16" s="327" t="e">
        <f t="shared" si="27"/>
        <v>#N/A</v>
      </c>
      <c r="ET16" s="325" t="e">
        <f t="shared" si="33"/>
        <v>#N/A</v>
      </c>
      <c r="EU16" s="336"/>
      <c r="EV16" s="336"/>
      <c r="EW16" s="336"/>
      <c r="EX16" s="336"/>
      <c r="EY16" s="336"/>
      <c r="EZ16" s="336"/>
      <c r="FA16" s="336"/>
    </row>
    <row r="17" spans="1:157" ht="41.5" customHeight="1" x14ac:dyDescent="0.3">
      <c r="A17" s="330"/>
      <c r="B17" s="318"/>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8"/>
      <c r="AN17" s="318"/>
      <c r="AO17" s="318"/>
      <c r="AP17" s="318"/>
      <c r="AQ17" s="318"/>
      <c r="AR17" s="318"/>
      <c r="AS17" s="318"/>
      <c r="AT17" s="318"/>
      <c r="AU17" s="318"/>
      <c r="AV17" s="318"/>
      <c r="AW17" s="318"/>
      <c r="AX17" s="318"/>
      <c r="AY17" s="318"/>
      <c r="AZ17" s="318"/>
      <c r="BA17" s="318"/>
      <c r="BB17" s="318"/>
      <c r="BC17" s="318"/>
      <c r="BD17" s="318"/>
      <c r="BE17" s="318"/>
      <c r="BF17" s="318"/>
      <c r="BG17" s="318">
        <f>(AU17*'Condition rating weights'!H$8+AV17*'Condition rating weights'!I$8+AW17*'Condition rating weights'!J$8+AX17*'Condition rating weights'!K$8+AY17*'Condition rating weights'!L$8+AZ17*'Condition rating weights'!M$8+BA17*'Condition rating weights'!N$8+BB17*'Condition rating weights'!O$8+BC17*'Condition rating weights'!P$8+BD17*'Condition rating weights'!Q$8+BE17*'Condition rating weights'!R$8+BF17*'Condition rating weights'!S$8)/100</f>
        <v>0</v>
      </c>
      <c r="BH17" s="333"/>
      <c r="BI17" s="333"/>
      <c r="BJ17" s="333"/>
      <c r="BK17" s="333"/>
      <c r="BL17" s="333"/>
      <c r="BM17" s="333"/>
      <c r="BN17" s="333"/>
      <c r="BO17" s="333"/>
      <c r="BP17" s="333"/>
      <c r="BQ17" s="333"/>
      <c r="BR17" s="333"/>
      <c r="BS17" s="333"/>
      <c r="BT17" s="334"/>
      <c r="BU17" s="431"/>
      <c r="CG17" s="323" t="e">
        <f t="shared" si="5"/>
        <v>#N/A</v>
      </c>
      <c r="CH17" s="323" t="e">
        <f t="shared" si="6"/>
        <v>#N/A</v>
      </c>
      <c r="CI17" s="323" t="e">
        <f t="shared" si="7"/>
        <v>#N/A</v>
      </c>
      <c r="CJ17" s="323" t="e">
        <f t="shared" si="8"/>
        <v>#N/A</v>
      </c>
      <c r="CK17" s="323" t="e">
        <f t="shared" si="9"/>
        <v>#N/A</v>
      </c>
      <c r="CL17" s="323" t="e">
        <f t="shared" si="10"/>
        <v>#N/A</v>
      </c>
      <c r="CM17" s="323" t="e">
        <f t="shared" si="11"/>
        <v>#N/A</v>
      </c>
      <c r="CN17" s="323" t="e">
        <f t="shared" si="12"/>
        <v>#N/A</v>
      </c>
      <c r="CO17" s="323" t="e">
        <f t="shared" si="13"/>
        <v>#N/A</v>
      </c>
      <c r="CP17" s="323" t="e">
        <f t="shared" si="14"/>
        <v>#N/A</v>
      </c>
      <c r="CQ17" s="324" t="e">
        <f t="shared" si="29"/>
        <v>#N/A</v>
      </c>
      <c r="CR17" s="325" t="e">
        <f>(HLOOKUP($AI17,'Inflation Adjustments'!$B$3:$BT$4,2,TRUE))*CG17</f>
        <v>#N/A</v>
      </c>
      <c r="CS17" s="325" t="e">
        <f>(HLOOKUP($AI17,'Inflation Adjustments'!$B$3:$BT$4,2,TRUE))*CH17</f>
        <v>#N/A</v>
      </c>
      <c r="CT17" s="325" t="e">
        <f>(HLOOKUP($AI17,'Inflation Adjustments'!$B$3:$BT$4,2,TRUE))*CI17</f>
        <v>#N/A</v>
      </c>
      <c r="CU17" s="325" t="e">
        <f>(HLOOKUP($AI17,'Inflation Adjustments'!$B$3:$BT$4,2,TRUE))*CJ17</f>
        <v>#N/A</v>
      </c>
      <c r="CV17" s="325" t="e">
        <f>(HLOOKUP($AI17,'Inflation Adjustments'!$B$3:$BT$4,2,TRUE))*CK17</f>
        <v>#N/A</v>
      </c>
      <c r="CW17" s="325" t="e">
        <f>(HLOOKUP($AI17,'Inflation Adjustments'!$B$3:$BT$4,2,TRUE))*CL17</f>
        <v>#N/A</v>
      </c>
      <c r="CX17" s="325" t="e">
        <f>(HLOOKUP($AI17,'Inflation Adjustments'!$B$3:$BT$4,2,TRUE))*CM17</f>
        <v>#N/A</v>
      </c>
      <c r="CY17" s="325" t="e">
        <f>(HLOOKUP($AI17,'Inflation Adjustments'!$B$3:$BT$4,2,TRUE))*CN17</f>
        <v>#N/A</v>
      </c>
      <c r="CZ17" s="325" t="e">
        <f>(HLOOKUP($AI17,'Inflation Adjustments'!$B$3:$BT$4,2,TRUE))*CO17</f>
        <v>#N/A</v>
      </c>
      <c r="DA17" s="325" t="e">
        <f>(HLOOKUP($AI17,'Inflation Adjustments'!$B$3:$BT$4,2,TRUE))*CP17</f>
        <v>#N/A</v>
      </c>
      <c r="DB17" s="325" t="e">
        <f t="shared" si="30"/>
        <v>#N/A</v>
      </c>
      <c r="DC17" s="326">
        <f t="shared" si="15"/>
        <v>2022</v>
      </c>
      <c r="DD17" s="323" t="e">
        <f t="shared" si="16"/>
        <v>#N/A</v>
      </c>
      <c r="DE17" s="323" t="e">
        <f t="shared" si="17"/>
        <v>#N/A</v>
      </c>
      <c r="DF17" s="323" t="e">
        <f t="shared" si="18"/>
        <v>#N/A</v>
      </c>
      <c r="DG17" s="323" t="e">
        <f t="shared" si="19"/>
        <v>#N/A</v>
      </c>
      <c r="DH17" s="323" t="e">
        <f t="shared" si="20"/>
        <v>#N/A</v>
      </c>
      <c r="DI17" s="323" t="e">
        <f t="shared" si="21"/>
        <v>#N/A</v>
      </c>
      <c r="DJ17" s="323" t="e">
        <f t="shared" si="22"/>
        <v>#N/A</v>
      </c>
      <c r="DK17" s="323" t="e">
        <f t="shared" si="22"/>
        <v>#N/A</v>
      </c>
      <c r="DL17" s="323" t="e">
        <f t="shared" si="23"/>
        <v>#N/A</v>
      </c>
      <c r="DM17" s="323" t="e">
        <f t="shared" si="24"/>
        <v>#N/A</v>
      </c>
      <c r="DN17" s="327" t="e">
        <f t="shared" si="25"/>
        <v>#N/A</v>
      </c>
      <c r="DO17" s="327" t="e">
        <f t="shared" si="25"/>
        <v>#N/A</v>
      </c>
      <c r="DP17" s="327" t="e">
        <f t="shared" si="25"/>
        <v>#N/A</v>
      </c>
      <c r="DQ17" s="327" t="e">
        <f t="shared" si="25"/>
        <v>#N/A</v>
      </c>
      <c r="DR17" s="327" t="e">
        <f t="shared" si="25"/>
        <v>#N/A</v>
      </c>
      <c r="DS17" s="327" t="e">
        <f t="shared" si="25"/>
        <v>#N/A</v>
      </c>
      <c r="DT17" s="327" t="e">
        <f t="shared" si="25"/>
        <v>#N/A</v>
      </c>
      <c r="DU17" s="327" t="e">
        <f t="shared" si="25"/>
        <v>#N/A</v>
      </c>
      <c r="DV17" s="327" t="e">
        <f t="shared" si="25"/>
        <v>#N/A</v>
      </c>
      <c r="DW17" s="327" t="e">
        <f t="shared" si="25"/>
        <v>#N/A</v>
      </c>
      <c r="DX17" s="327" t="e">
        <f t="shared" si="31"/>
        <v>#N/A</v>
      </c>
      <c r="DY17" s="323" t="e">
        <f t="shared" si="26"/>
        <v>#N/A</v>
      </c>
      <c r="DZ17" s="323" t="e">
        <f t="shared" si="26"/>
        <v>#N/A</v>
      </c>
      <c r="EA17" s="323" t="e">
        <f t="shared" si="26"/>
        <v>#N/A</v>
      </c>
      <c r="EB17" s="323" t="e">
        <f t="shared" si="26"/>
        <v>#N/A</v>
      </c>
      <c r="EC17" s="323" t="e">
        <f t="shared" si="26"/>
        <v>#N/A</v>
      </c>
      <c r="ED17" s="323" t="e">
        <f t="shared" si="26"/>
        <v>#N/A</v>
      </c>
      <c r="EE17" s="323" t="e">
        <f t="shared" si="26"/>
        <v>#N/A</v>
      </c>
      <c r="EF17" s="323" t="e">
        <f t="shared" si="26"/>
        <v>#N/A</v>
      </c>
      <c r="EG17" s="323" t="e">
        <f t="shared" si="26"/>
        <v>#N/A</v>
      </c>
      <c r="EH17" s="323" t="e">
        <f t="shared" si="26"/>
        <v>#N/A</v>
      </c>
      <c r="EI17" s="324" t="e">
        <f t="shared" si="32"/>
        <v>#N/A</v>
      </c>
      <c r="EJ17" s="327" t="e">
        <f t="shared" si="27"/>
        <v>#N/A</v>
      </c>
      <c r="EK17" s="327" t="e">
        <f t="shared" si="27"/>
        <v>#N/A</v>
      </c>
      <c r="EL17" s="327" t="e">
        <f t="shared" si="27"/>
        <v>#N/A</v>
      </c>
      <c r="EM17" s="327" t="e">
        <f t="shared" si="27"/>
        <v>#N/A</v>
      </c>
      <c r="EN17" s="327" t="e">
        <f t="shared" si="27"/>
        <v>#N/A</v>
      </c>
      <c r="EO17" s="327" t="e">
        <f t="shared" si="27"/>
        <v>#N/A</v>
      </c>
      <c r="EP17" s="327" t="e">
        <f t="shared" si="27"/>
        <v>#N/A</v>
      </c>
      <c r="EQ17" s="327" t="e">
        <f t="shared" si="27"/>
        <v>#N/A</v>
      </c>
      <c r="ER17" s="327" t="e">
        <f t="shared" si="27"/>
        <v>#N/A</v>
      </c>
      <c r="ES17" s="327" t="e">
        <f t="shared" si="27"/>
        <v>#N/A</v>
      </c>
      <c r="ET17" s="325" t="e">
        <f t="shared" si="33"/>
        <v>#N/A</v>
      </c>
      <c r="EU17" s="336"/>
      <c r="EV17" s="336"/>
      <c r="EW17" s="336"/>
      <c r="EX17" s="336"/>
      <c r="EY17" s="336"/>
      <c r="EZ17" s="336"/>
      <c r="FA17" s="336"/>
    </row>
    <row r="18" spans="1:157" ht="41.5" customHeight="1" x14ac:dyDescent="0.3">
      <c r="A18" s="330"/>
      <c r="B18" s="318"/>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8"/>
      <c r="AP18" s="318"/>
      <c r="AQ18" s="318"/>
      <c r="AR18" s="318"/>
      <c r="AS18" s="318"/>
      <c r="AT18" s="318"/>
      <c r="AU18" s="318"/>
      <c r="AV18" s="318"/>
      <c r="AW18" s="318"/>
      <c r="AX18" s="318"/>
      <c r="AY18" s="318"/>
      <c r="AZ18" s="318"/>
      <c r="BA18" s="318"/>
      <c r="BB18" s="318"/>
      <c r="BC18" s="318"/>
      <c r="BD18" s="318"/>
      <c r="BE18" s="318"/>
      <c r="BF18" s="318"/>
      <c r="BG18" s="318">
        <f>(AU18*'Condition rating weights'!H$8+AV18*'Condition rating weights'!I$8+AW18*'Condition rating weights'!J$8+AX18*'Condition rating weights'!K$8+AY18*'Condition rating weights'!L$8+AZ18*'Condition rating weights'!M$8+BA18*'Condition rating weights'!N$8+BB18*'Condition rating weights'!O$8+BC18*'Condition rating weights'!P$8+BD18*'Condition rating weights'!Q$8+BE18*'Condition rating weights'!R$8+BF18*'Condition rating weights'!S$8)/100</f>
        <v>0</v>
      </c>
      <c r="BH18" s="333"/>
      <c r="BI18" s="333"/>
      <c r="BJ18" s="333"/>
      <c r="BK18" s="333"/>
      <c r="BL18" s="333"/>
      <c r="BM18" s="333"/>
      <c r="BN18" s="333"/>
      <c r="BO18" s="333"/>
      <c r="BP18" s="333"/>
      <c r="BQ18" s="333"/>
      <c r="BR18" s="333"/>
      <c r="BS18" s="333"/>
      <c r="BT18" s="334"/>
      <c r="BU18" s="431"/>
      <c r="CG18" s="323" t="e">
        <f t="shared" si="5"/>
        <v>#N/A</v>
      </c>
      <c r="CH18" s="323" t="e">
        <f t="shared" si="6"/>
        <v>#N/A</v>
      </c>
      <c r="CI18" s="323" t="e">
        <f t="shared" si="7"/>
        <v>#N/A</v>
      </c>
      <c r="CJ18" s="323" t="e">
        <f t="shared" si="8"/>
        <v>#N/A</v>
      </c>
      <c r="CK18" s="323" t="e">
        <f t="shared" si="9"/>
        <v>#N/A</v>
      </c>
      <c r="CL18" s="323" t="e">
        <f t="shared" si="10"/>
        <v>#N/A</v>
      </c>
      <c r="CM18" s="323" t="e">
        <f t="shared" si="11"/>
        <v>#N/A</v>
      </c>
      <c r="CN18" s="323" t="e">
        <f t="shared" si="12"/>
        <v>#N/A</v>
      </c>
      <c r="CO18" s="323" t="e">
        <f t="shared" si="13"/>
        <v>#N/A</v>
      </c>
      <c r="CP18" s="323" t="e">
        <f t="shared" si="14"/>
        <v>#N/A</v>
      </c>
      <c r="CQ18" s="324" t="e">
        <f t="shared" si="29"/>
        <v>#N/A</v>
      </c>
      <c r="CR18" s="325" t="e">
        <f>(HLOOKUP($AI18,'Inflation Adjustments'!$B$3:$BT$4,2,TRUE))*CG18</f>
        <v>#N/A</v>
      </c>
      <c r="CS18" s="325" t="e">
        <f>(HLOOKUP($AI18,'Inflation Adjustments'!$B$3:$BT$4,2,TRUE))*CH18</f>
        <v>#N/A</v>
      </c>
      <c r="CT18" s="325" t="e">
        <f>(HLOOKUP($AI18,'Inflation Adjustments'!$B$3:$BT$4,2,TRUE))*CI18</f>
        <v>#N/A</v>
      </c>
      <c r="CU18" s="325" t="e">
        <f>(HLOOKUP($AI18,'Inflation Adjustments'!$B$3:$BT$4,2,TRUE))*CJ18</f>
        <v>#N/A</v>
      </c>
      <c r="CV18" s="325" t="e">
        <f>(HLOOKUP($AI18,'Inflation Adjustments'!$B$3:$BT$4,2,TRUE))*CK18</f>
        <v>#N/A</v>
      </c>
      <c r="CW18" s="325" t="e">
        <f>(HLOOKUP($AI18,'Inflation Adjustments'!$B$3:$BT$4,2,TRUE))*CL18</f>
        <v>#N/A</v>
      </c>
      <c r="CX18" s="325" t="e">
        <f>(HLOOKUP($AI18,'Inflation Adjustments'!$B$3:$BT$4,2,TRUE))*CM18</f>
        <v>#N/A</v>
      </c>
      <c r="CY18" s="325" t="e">
        <f>(HLOOKUP($AI18,'Inflation Adjustments'!$B$3:$BT$4,2,TRUE))*CN18</f>
        <v>#N/A</v>
      </c>
      <c r="CZ18" s="325" t="e">
        <f>(HLOOKUP($AI18,'Inflation Adjustments'!$B$3:$BT$4,2,TRUE))*CO18</f>
        <v>#N/A</v>
      </c>
      <c r="DA18" s="325" t="e">
        <f>(HLOOKUP($AI18,'Inflation Adjustments'!$B$3:$BT$4,2,TRUE))*CP18</f>
        <v>#N/A</v>
      </c>
      <c r="DB18" s="325" t="e">
        <f t="shared" si="30"/>
        <v>#N/A</v>
      </c>
      <c r="DC18" s="326">
        <f t="shared" si="15"/>
        <v>2022</v>
      </c>
      <c r="DD18" s="323" t="e">
        <f t="shared" si="16"/>
        <v>#N/A</v>
      </c>
      <c r="DE18" s="323" t="e">
        <f t="shared" si="17"/>
        <v>#N/A</v>
      </c>
      <c r="DF18" s="323" t="e">
        <f t="shared" si="18"/>
        <v>#N/A</v>
      </c>
      <c r="DG18" s="323" t="e">
        <f t="shared" si="19"/>
        <v>#N/A</v>
      </c>
      <c r="DH18" s="323" t="e">
        <f t="shared" si="20"/>
        <v>#N/A</v>
      </c>
      <c r="DI18" s="323" t="e">
        <f t="shared" si="21"/>
        <v>#N/A</v>
      </c>
      <c r="DJ18" s="323" t="e">
        <f t="shared" si="22"/>
        <v>#N/A</v>
      </c>
      <c r="DK18" s="323" t="e">
        <f t="shared" si="22"/>
        <v>#N/A</v>
      </c>
      <c r="DL18" s="323" t="e">
        <f t="shared" si="23"/>
        <v>#N/A</v>
      </c>
      <c r="DM18" s="323" t="e">
        <f t="shared" si="24"/>
        <v>#N/A</v>
      </c>
      <c r="DN18" s="327" t="e">
        <f t="shared" si="25"/>
        <v>#N/A</v>
      </c>
      <c r="DO18" s="327" t="e">
        <f t="shared" si="25"/>
        <v>#N/A</v>
      </c>
      <c r="DP18" s="327" t="e">
        <f t="shared" si="25"/>
        <v>#N/A</v>
      </c>
      <c r="DQ18" s="327" t="e">
        <f t="shared" si="25"/>
        <v>#N/A</v>
      </c>
      <c r="DR18" s="327" t="e">
        <f t="shared" si="25"/>
        <v>#N/A</v>
      </c>
      <c r="DS18" s="327" t="e">
        <f t="shared" si="25"/>
        <v>#N/A</v>
      </c>
      <c r="DT18" s="327" t="e">
        <f t="shared" si="25"/>
        <v>#N/A</v>
      </c>
      <c r="DU18" s="327" t="e">
        <f t="shared" si="25"/>
        <v>#N/A</v>
      </c>
      <c r="DV18" s="327" t="e">
        <f t="shared" si="25"/>
        <v>#N/A</v>
      </c>
      <c r="DW18" s="327" t="e">
        <f t="shared" si="25"/>
        <v>#N/A</v>
      </c>
      <c r="DX18" s="327" t="e">
        <f t="shared" si="31"/>
        <v>#N/A</v>
      </c>
      <c r="DY18" s="323" t="e">
        <f t="shared" si="26"/>
        <v>#N/A</v>
      </c>
      <c r="DZ18" s="323" t="e">
        <f t="shared" si="26"/>
        <v>#N/A</v>
      </c>
      <c r="EA18" s="323" t="e">
        <f t="shared" si="26"/>
        <v>#N/A</v>
      </c>
      <c r="EB18" s="323" t="e">
        <f t="shared" si="26"/>
        <v>#N/A</v>
      </c>
      <c r="EC18" s="323" t="e">
        <f t="shared" si="26"/>
        <v>#N/A</v>
      </c>
      <c r="ED18" s="323" t="e">
        <f t="shared" si="26"/>
        <v>#N/A</v>
      </c>
      <c r="EE18" s="323" t="e">
        <f t="shared" si="26"/>
        <v>#N/A</v>
      </c>
      <c r="EF18" s="323" t="e">
        <f t="shared" si="26"/>
        <v>#N/A</v>
      </c>
      <c r="EG18" s="323" t="e">
        <f t="shared" si="26"/>
        <v>#N/A</v>
      </c>
      <c r="EH18" s="323" t="e">
        <f t="shared" si="26"/>
        <v>#N/A</v>
      </c>
      <c r="EI18" s="324" t="e">
        <f t="shared" si="32"/>
        <v>#N/A</v>
      </c>
      <c r="EJ18" s="327" t="e">
        <f t="shared" si="27"/>
        <v>#N/A</v>
      </c>
      <c r="EK18" s="327" t="e">
        <f t="shared" si="27"/>
        <v>#N/A</v>
      </c>
      <c r="EL18" s="327" t="e">
        <f t="shared" si="27"/>
        <v>#N/A</v>
      </c>
      <c r="EM18" s="327" t="e">
        <f t="shared" si="27"/>
        <v>#N/A</v>
      </c>
      <c r="EN18" s="327" t="e">
        <f t="shared" si="27"/>
        <v>#N/A</v>
      </c>
      <c r="EO18" s="327" t="e">
        <f t="shared" si="27"/>
        <v>#N/A</v>
      </c>
      <c r="EP18" s="327" t="e">
        <f t="shared" si="27"/>
        <v>#N/A</v>
      </c>
      <c r="EQ18" s="327" t="e">
        <f t="shared" si="27"/>
        <v>#N/A</v>
      </c>
      <c r="ER18" s="327" t="e">
        <f t="shared" si="27"/>
        <v>#N/A</v>
      </c>
      <c r="ES18" s="327" t="e">
        <f t="shared" si="27"/>
        <v>#N/A</v>
      </c>
      <c r="ET18" s="325" t="e">
        <f t="shared" si="33"/>
        <v>#N/A</v>
      </c>
      <c r="EU18" s="336"/>
      <c r="EV18" s="336"/>
      <c r="EW18" s="336"/>
      <c r="EX18" s="336"/>
      <c r="EY18" s="336"/>
      <c r="EZ18" s="336"/>
      <c r="FA18" s="336"/>
    </row>
    <row r="19" spans="1:157" ht="59.5" customHeight="1" x14ac:dyDescent="0.3">
      <c r="A19" s="330"/>
      <c r="B19" s="318"/>
      <c r="C19" s="318"/>
      <c r="D19" s="318"/>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18"/>
      <c r="AO19" s="318"/>
      <c r="AP19" s="318"/>
      <c r="AQ19" s="318"/>
      <c r="AR19" s="318"/>
      <c r="AS19" s="318"/>
      <c r="AT19" s="318"/>
      <c r="AU19" s="318"/>
      <c r="AV19" s="318"/>
      <c r="AW19" s="318"/>
      <c r="AX19" s="318"/>
      <c r="AY19" s="318"/>
      <c r="AZ19" s="318"/>
      <c r="BA19" s="318"/>
      <c r="BB19" s="318"/>
      <c r="BC19" s="318"/>
      <c r="BD19" s="318"/>
      <c r="BE19" s="318"/>
      <c r="BF19" s="318"/>
      <c r="BG19" s="318">
        <f>(AU19*'Condition rating weights'!H$8+AV19*'Condition rating weights'!I$8+AW19*'Condition rating weights'!J$8+AX19*'Condition rating weights'!K$8+AY19*'Condition rating weights'!L$8+AZ19*'Condition rating weights'!M$8+BA19*'Condition rating weights'!N$8+BB19*'Condition rating weights'!O$8+BC19*'Condition rating weights'!P$8+BD19*'Condition rating weights'!Q$8+BE19*'Condition rating weights'!R$8+BF19*'Condition rating weights'!S$8)/100</f>
        <v>0</v>
      </c>
      <c r="BH19" s="333"/>
      <c r="BI19" s="333"/>
      <c r="BJ19" s="333"/>
      <c r="BK19" s="333"/>
      <c r="BL19" s="333"/>
      <c r="BM19" s="333"/>
      <c r="BN19" s="333"/>
      <c r="BO19" s="333"/>
      <c r="BP19" s="333"/>
      <c r="BQ19" s="333"/>
      <c r="BR19" s="333"/>
      <c r="BS19" s="333"/>
      <c r="BT19" s="334"/>
      <c r="BU19" s="431"/>
      <c r="CG19" s="323" t="e">
        <f t="shared" si="5"/>
        <v>#N/A</v>
      </c>
      <c r="CH19" s="323" t="e">
        <f t="shared" si="6"/>
        <v>#N/A</v>
      </c>
      <c r="CI19" s="323" t="e">
        <f t="shared" si="7"/>
        <v>#N/A</v>
      </c>
      <c r="CJ19" s="323" t="e">
        <f t="shared" si="8"/>
        <v>#N/A</v>
      </c>
      <c r="CK19" s="323" t="e">
        <f t="shared" si="9"/>
        <v>#N/A</v>
      </c>
      <c r="CL19" s="323" t="e">
        <f t="shared" si="10"/>
        <v>#N/A</v>
      </c>
      <c r="CM19" s="323" t="e">
        <f t="shared" si="11"/>
        <v>#N/A</v>
      </c>
      <c r="CN19" s="323" t="e">
        <f t="shared" si="12"/>
        <v>#N/A</v>
      </c>
      <c r="CO19" s="323" t="e">
        <f t="shared" si="13"/>
        <v>#N/A</v>
      </c>
      <c r="CP19" s="323" t="e">
        <f t="shared" si="14"/>
        <v>#N/A</v>
      </c>
      <c r="CQ19" s="324" t="e">
        <f t="shared" si="29"/>
        <v>#N/A</v>
      </c>
      <c r="CR19" s="325" t="e">
        <f>(HLOOKUP($AI19,'Inflation Adjustments'!$B$3:$BT$4,2,TRUE))*CG19</f>
        <v>#N/A</v>
      </c>
      <c r="CS19" s="325" t="e">
        <f>(HLOOKUP($AI19,'Inflation Adjustments'!$B$3:$BT$4,2,TRUE))*CH19</f>
        <v>#N/A</v>
      </c>
      <c r="CT19" s="325" t="e">
        <f>(HLOOKUP($AI19,'Inflation Adjustments'!$B$3:$BT$4,2,TRUE))*CI19</f>
        <v>#N/A</v>
      </c>
      <c r="CU19" s="325" t="e">
        <f>(HLOOKUP($AI19,'Inflation Adjustments'!$B$3:$BT$4,2,TRUE))*CJ19</f>
        <v>#N/A</v>
      </c>
      <c r="CV19" s="325" t="e">
        <f>(HLOOKUP($AI19,'Inflation Adjustments'!$B$3:$BT$4,2,TRUE))*CK19</f>
        <v>#N/A</v>
      </c>
      <c r="CW19" s="325" t="e">
        <f>(HLOOKUP($AI19,'Inflation Adjustments'!$B$3:$BT$4,2,TRUE))*CL19</f>
        <v>#N/A</v>
      </c>
      <c r="CX19" s="325" t="e">
        <f>(HLOOKUP($AI19,'Inflation Adjustments'!$B$3:$BT$4,2,TRUE))*CM19</f>
        <v>#N/A</v>
      </c>
      <c r="CY19" s="325" t="e">
        <f>(HLOOKUP($AI19,'Inflation Adjustments'!$B$3:$BT$4,2,TRUE))*CN19</f>
        <v>#N/A</v>
      </c>
      <c r="CZ19" s="325" t="e">
        <f>(HLOOKUP($AI19,'Inflation Adjustments'!$B$3:$BT$4,2,TRUE))*CO19</f>
        <v>#N/A</v>
      </c>
      <c r="DA19" s="325" t="e">
        <f>(HLOOKUP($AI19,'Inflation Adjustments'!$B$3:$BT$4,2,TRUE))*CP19</f>
        <v>#N/A</v>
      </c>
      <c r="DB19" s="325" t="e">
        <f t="shared" si="30"/>
        <v>#N/A</v>
      </c>
      <c r="DC19" s="326">
        <f t="shared" si="15"/>
        <v>2022</v>
      </c>
      <c r="DD19" s="323" t="e">
        <f t="shared" si="16"/>
        <v>#N/A</v>
      </c>
      <c r="DE19" s="323" t="e">
        <f t="shared" si="17"/>
        <v>#N/A</v>
      </c>
      <c r="DF19" s="323" t="e">
        <f t="shared" si="18"/>
        <v>#N/A</v>
      </c>
      <c r="DG19" s="323" t="e">
        <f t="shared" si="19"/>
        <v>#N/A</v>
      </c>
      <c r="DH19" s="323" t="e">
        <f t="shared" si="20"/>
        <v>#N/A</v>
      </c>
      <c r="DI19" s="323" t="e">
        <f t="shared" si="21"/>
        <v>#N/A</v>
      </c>
      <c r="DJ19" s="323" t="e">
        <f t="shared" si="22"/>
        <v>#N/A</v>
      </c>
      <c r="DK19" s="323" t="e">
        <f t="shared" si="22"/>
        <v>#N/A</v>
      </c>
      <c r="DL19" s="323" t="e">
        <f t="shared" si="23"/>
        <v>#N/A</v>
      </c>
      <c r="DM19" s="323" t="e">
        <f t="shared" si="24"/>
        <v>#N/A</v>
      </c>
      <c r="DN19" s="327" t="e">
        <f t="shared" si="25"/>
        <v>#N/A</v>
      </c>
      <c r="DO19" s="327" t="e">
        <f t="shared" si="25"/>
        <v>#N/A</v>
      </c>
      <c r="DP19" s="327" t="e">
        <f t="shared" si="25"/>
        <v>#N/A</v>
      </c>
      <c r="DQ19" s="327" t="e">
        <f t="shared" si="25"/>
        <v>#N/A</v>
      </c>
      <c r="DR19" s="327" t="e">
        <f t="shared" si="25"/>
        <v>#N/A</v>
      </c>
      <c r="DS19" s="327" t="e">
        <f t="shared" si="25"/>
        <v>#N/A</v>
      </c>
      <c r="DT19" s="327" t="e">
        <f t="shared" si="25"/>
        <v>#N/A</v>
      </c>
      <c r="DU19" s="327" t="e">
        <f t="shared" si="25"/>
        <v>#N/A</v>
      </c>
      <c r="DV19" s="327" t="e">
        <f t="shared" si="25"/>
        <v>#N/A</v>
      </c>
      <c r="DW19" s="327" t="e">
        <f t="shared" si="25"/>
        <v>#N/A</v>
      </c>
      <c r="DX19" s="327" t="e">
        <f t="shared" si="31"/>
        <v>#N/A</v>
      </c>
      <c r="DY19" s="323" t="e">
        <f t="shared" si="26"/>
        <v>#N/A</v>
      </c>
      <c r="DZ19" s="323" t="e">
        <f t="shared" si="26"/>
        <v>#N/A</v>
      </c>
      <c r="EA19" s="323" t="e">
        <f t="shared" si="26"/>
        <v>#N/A</v>
      </c>
      <c r="EB19" s="323" t="e">
        <f t="shared" si="26"/>
        <v>#N/A</v>
      </c>
      <c r="EC19" s="323" t="e">
        <f t="shared" si="26"/>
        <v>#N/A</v>
      </c>
      <c r="ED19" s="323" t="e">
        <f t="shared" si="26"/>
        <v>#N/A</v>
      </c>
      <c r="EE19" s="323" t="e">
        <f t="shared" si="26"/>
        <v>#N/A</v>
      </c>
      <c r="EF19" s="323" t="e">
        <f t="shared" si="26"/>
        <v>#N/A</v>
      </c>
      <c r="EG19" s="323" t="e">
        <f t="shared" si="26"/>
        <v>#N/A</v>
      </c>
      <c r="EH19" s="323" t="e">
        <f t="shared" si="26"/>
        <v>#N/A</v>
      </c>
      <c r="EI19" s="324" t="e">
        <f t="shared" si="32"/>
        <v>#N/A</v>
      </c>
      <c r="EJ19" s="327" t="e">
        <f t="shared" si="27"/>
        <v>#N/A</v>
      </c>
      <c r="EK19" s="327" t="e">
        <f t="shared" si="27"/>
        <v>#N/A</v>
      </c>
      <c r="EL19" s="327" t="e">
        <f t="shared" si="27"/>
        <v>#N/A</v>
      </c>
      <c r="EM19" s="327" t="e">
        <f t="shared" si="27"/>
        <v>#N/A</v>
      </c>
      <c r="EN19" s="327" t="e">
        <f t="shared" si="27"/>
        <v>#N/A</v>
      </c>
      <c r="EO19" s="327" t="e">
        <f t="shared" si="27"/>
        <v>#N/A</v>
      </c>
      <c r="EP19" s="327" t="e">
        <f t="shared" si="27"/>
        <v>#N/A</v>
      </c>
      <c r="EQ19" s="327" t="e">
        <f t="shared" si="27"/>
        <v>#N/A</v>
      </c>
      <c r="ER19" s="327" t="e">
        <f t="shared" si="27"/>
        <v>#N/A</v>
      </c>
      <c r="ES19" s="327" t="e">
        <f t="shared" si="27"/>
        <v>#N/A</v>
      </c>
      <c r="ET19" s="325" t="e">
        <f t="shared" si="33"/>
        <v>#N/A</v>
      </c>
      <c r="EU19" s="336"/>
      <c r="EV19" s="336"/>
      <c r="EW19" s="336"/>
      <c r="EX19" s="336"/>
      <c r="EY19" s="336"/>
      <c r="EZ19" s="336"/>
      <c r="FA19" s="336"/>
    </row>
    <row r="20" spans="1:157" ht="59.5" customHeight="1" thickBot="1" x14ac:dyDescent="0.35">
      <c r="A20" s="330"/>
      <c r="B20" s="318"/>
      <c r="C20" s="318"/>
      <c r="D20" s="318"/>
      <c r="E20" s="318"/>
      <c r="F20" s="318"/>
      <c r="G20" s="318"/>
      <c r="H20" s="318"/>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18"/>
      <c r="AI20" s="318"/>
      <c r="AJ20" s="318"/>
      <c r="AK20" s="318"/>
      <c r="AL20" s="318"/>
      <c r="AM20" s="318"/>
      <c r="AN20" s="318"/>
      <c r="AO20" s="318"/>
      <c r="AP20" s="318"/>
      <c r="AQ20" s="318"/>
      <c r="AR20" s="318"/>
      <c r="AS20" s="318"/>
      <c r="AT20" s="318"/>
      <c r="AU20" s="318"/>
      <c r="AV20" s="318"/>
      <c r="AW20" s="318"/>
      <c r="AX20" s="318"/>
      <c r="AY20" s="318"/>
      <c r="AZ20" s="318"/>
      <c r="BA20" s="318"/>
      <c r="BB20" s="318"/>
      <c r="BC20" s="318"/>
      <c r="BD20" s="318"/>
      <c r="BE20" s="318"/>
      <c r="BF20" s="318"/>
      <c r="BG20" s="318">
        <f>(AU20*'Condition rating weights'!H$8+AV20*'Condition rating weights'!I$8+AW20*'Condition rating weights'!J$8+AX20*'Condition rating weights'!K$8+AY20*'Condition rating weights'!L$8+AZ20*'Condition rating weights'!M$8+BA20*'Condition rating weights'!N$8+BB20*'Condition rating weights'!O$8+BC20*'Condition rating weights'!P$8+BD20*'Condition rating weights'!Q$8+BE20*'Condition rating weights'!R$8+BF20*'Condition rating weights'!S$8)/100</f>
        <v>0</v>
      </c>
      <c r="BH20" s="333"/>
      <c r="BI20" s="333"/>
      <c r="BJ20" s="333"/>
      <c r="BK20" s="333"/>
      <c r="BL20" s="333"/>
      <c r="BM20" s="333"/>
      <c r="BN20" s="333"/>
      <c r="BO20" s="333"/>
      <c r="BP20" s="333"/>
      <c r="BQ20" s="333"/>
      <c r="BR20" s="333"/>
      <c r="BS20" s="333"/>
      <c r="BT20" s="334"/>
      <c r="BU20" s="431"/>
      <c r="CG20" s="323" t="e">
        <f t="shared" si="5"/>
        <v>#N/A</v>
      </c>
      <c r="CH20" s="323" t="e">
        <f t="shared" si="6"/>
        <v>#N/A</v>
      </c>
      <c r="CI20" s="323" t="e">
        <f t="shared" si="7"/>
        <v>#N/A</v>
      </c>
      <c r="CJ20" s="323" t="e">
        <f t="shared" si="8"/>
        <v>#N/A</v>
      </c>
      <c r="CK20" s="323" t="e">
        <f t="shared" si="9"/>
        <v>#N/A</v>
      </c>
      <c r="CL20" s="323" t="e">
        <f t="shared" si="10"/>
        <v>#N/A</v>
      </c>
      <c r="CM20" s="323" t="e">
        <f t="shared" si="11"/>
        <v>#N/A</v>
      </c>
      <c r="CN20" s="323" t="e">
        <f t="shared" si="12"/>
        <v>#N/A</v>
      </c>
      <c r="CO20" s="323" t="e">
        <f t="shared" si="13"/>
        <v>#N/A</v>
      </c>
      <c r="CP20" s="323" t="e">
        <f t="shared" si="14"/>
        <v>#N/A</v>
      </c>
      <c r="CQ20" s="324" t="e">
        <f t="shared" si="29"/>
        <v>#N/A</v>
      </c>
      <c r="CR20" s="325" t="e">
        <f>(HLOOKUP($AI20,'Inflation Adjustments'!$B$3:$BT$4,2,TRUE))*CG20</f>
        <v>#N/A</v>
      </c>
      <c r="CS20" s="325" t="e">
        <f>(HLOOKUP($AI20,'Inflation Adjustments'!$B$3:$BT$4,2,TRUE))*CH20</f>
        <v>#N/A</v>
      </c>
      <c r="CT20" s="325" t="e">
        <f>(HLOOKUP($AI20,'Inflation Adjustments'!$B$3:$BT$4,2,TRUE))*CI20</f>
        <v>#N/A</v>
      </c>
      <c r="CU20" s="325" t="e">
        <f>(HLOOKUP($AI20,'Inflation Adjustments'!$B$3:$BT$4,2,TRUE))*CJ20</f>
        <v>#N/A</v>
      </c>
      <c r="CV20" s="325" t="e">
        <f>(HLOOKUP($AI20,'Inflation Adjustments'!$B$3:$BT$4,2,TRUE))*CK20</f>
        <v>#N/A</v>
      </c>
      <c r="CW20" s="325" t="e">
        <f>(HLOOKUP($AI20,'Inflation Adjustments'!$B$3:$BT$4,2,TRUE))*CL20</f>
        <v>#N/A</v>
      </c>
      <c r="CX20" s="325" t="e">
        <f>(HLOOKUP($AI20,'Inflation Adjustments'!$B$3:$BT$4,2,TRUE))*CM20</f>
        <v>#N/A</v>
      </c>
      <c r="CY20" s="325" t="e">
        <f>(HLOOKUP($AI20,'Inflation Adjustments'!$B$3:$BT$4,2,TRUE))*CN20</f>
        <v>#N/A</v>
      </c>
      <c r="CZ20" s="325" t="e">
        <f>(HLOOKUP($AI20,'Inflation Adjustments'!$B$3:$BT$4,2,TRUE))*CO20</f>
        <v>#N/A</v>
      </c>
      <c r="DA20" s="325" t="e">
        <f>(HLOOKUP($AI20,'Inflation Adjustments'!$B$3:$BT$4,2,TRUE))*CP20</f>
        <v>#N/A</v>
      </c>
      <c r="DB20" s="325" t="e">
        <f t="shared" si="30"/>
        <v>#N/A</v>
      </c>
      <c r="DC20" s="326">
        <f t="shared" si="15"/>
        <v>2022</v>
      </c>
      <c r="DD20" s="323" t="e">
        <f t="shared" si="16"/>
        <v>#N/A</v>
      </c>
      <c r="DE20" s="323" t="e">
        <f t="shared" si="17"/>
        <v>#N/A</v>
      </c>
      <c r="DF20" s="323" t="e">
        <f t="shared" si="18"/>
        <v>#N/A</v>
      </c>
      <c r="DG20" s="323" t="e">
        <f t="shared" si="19"/>
        <v>#N/A</v>
      </c>
      <c r="DH20" s="323" t="e">
        <f t="shared" si="20"/>
        <v>#N/A</v>
      </c>
      <c r="DI20" s="323" t="e">
        <f t="shared" si="21"/>
        <v>#N/A</v>
      </c>
      <c r="DJ20" s="323" t="e">
        <f t="shared" si="22"/>
        <v>#N/A</v>
      </c>
      <c r="DK20" s="323" t="e">
        <f t="shared" si="22"/>
        <v>#N/A</v>
      </c>
      <c r="DL20" s="323" t="e">
        <f t="shared" si="23"/>
        <v>#N/A</v>
      </c>
      <c r="DM20" s="323" t="e">
        <f t="shared" si="24"/>
        <v>#N/A</v>
      </c>
      <c r="DN20" s="327" t="e">
        <f t="shared" si="25"/>
        <v>#N/A</v>
      </c>
      <c r="DO20" s="327" t="e">
        <f t="shared" si="25"/>
        <v>#N/A</v>
      </c>
      <c r="DP20" s="327" t="e">
        <f t="shared" si="25"/>
        <v>#N/A</v>
      </c>
      <c r="DQ20" s="327" t="e">
        <f t="shared" si="25"/>
        <v>#N/A</v>
      </c>
      <c r="DR20" s="327" t="e">
        <f t="shared" si="25"/>
        <v>#N/A</v>
      </c>
      <c r="DS20" s="327" t="e">
        <f t="shared" si="25"/>
        <v>#N/A</v>
      </c>
      <c r="DT20" s="327" t="e">
        <f t="shared" si="25"/>
        <v>#N/A</v>
      </c>
      <c r="DU20" s="327" t="e">
        <f t="shared" si="25"/>
        <v>#N/A</v>
      </c>
      <c r="DV20" s="327" t="e">
        <f t="shared" si="25"/>
        <v>#N/A</v>
      </c>
      <c r="DW20" s="327" t="e">
        <f t="shared" si="25"/>
        <v>#N/A</v>
      </c>
      <c r="DX20" s="327" t="e">
        <f t="shared" si="31"/>
        <v>#N/A</v>
      </c>
      <c r="DY20" s="323" t="e">
        <f t="shared" si="26"/>
        <v>#N/A</v>
      </c>
      <c r="DZ20" s="323" t="e">
        <f t="shared" si="26"/>
        <v>#N/A</v>
      </c>
      <c r="EA20" s="323" t="e">
        <f t="shared" si="26"/>
        <v>#N/A</v>
      </c>
      <c r="EB20" s="323" t="e">
        <f t="shared" si="26"/>
        <v>#N/A</v>
      </c>
      <c r="EC20" s="323" t="e">
        <f t="shared" si="26"/>
        <v>#N/A</v>
      </c>
      <c r="ED20" s="323" t="e">
        <f t="shared" si="26"/>
        <v>#N/A</v>
      </c>
      <c r="EE20" s="323" t="e">
        <f t="shared" si="26"/>
        <v>#N/A</v>
      </c>
      <c r="EF20" s="323" t="e">
        <f t="shared" si="26"/>
        <v>#N/A</v>
      </c>
      <c r="EG20" s="323" t="e">
        <f t="shared" si="26"/>
        <v>#N/A</v>
      </c>
      <c r="EH20" s="323" t="e">
        <f t="shared" si="26"/>
        <v>#N/A</v>
      </c>
      <c r="EI20" s="324" t="e">
        <f t="shared" si="32"/>
        <v>#N/A</v>
      </c>
      <c r="EJ20" s="327" t="e">
        <f t="shared" si="27"/>
        <v>#N/A</v>
      </c>
      <c r="EK20" s="327" t="e">
        <f t="shared" si="27"/>
        <v>#N/A</v>
      </c>
      <c r="EL20" s="327" t="e">
        <f t="shared" si="27"/>
        <v>#N/A</v>
      </c>
      <c r="EM20" s="327" t="e">
        <f t="shared" si="27"/>
        <v>#N/A</v>
      </c>
      <c r="EN20" s="327" t="e">
        <f t="shared" si="27"/>
        <v>#N/A</v>
      </c>
      <c r="EO20" s="327" t="e">
        <f t="shared" si="27"/>
        <v>#N/A</v>
      </c>
      <c r="EP20" s="327" t="e">
        <f t="shared" si="27"/>
        <v>#N/A</v>
      </c>
      <c r="EQ20" s="327" t="e">
        <f t="shared" si="27"/>
        <v>#N/A</v>
      </c>
      <c r="ER20" s="327" t="e">
        <f t="shared" si="27"/>
        <v>#N/A</v>
      </c>
      <c r="ES20" s="327" t="e">
        <f t="shared" si="27"/>
        <v>#N/A</v>
      </c>
      <c r="ET20" s="325" t="e">
        <f t="shared" si="33"/>
        <v>#N/A</v>
      </c>
      <c r="EU20" s="336"/>
      <c r="EV20" s="336"/>
      <c r="EW20" s="336"/>
      <c r="EX20" s="336"/>
      <c r="EY20" s="336"/>
      <c r="EZ20" s="336"/>
      <c r="FA20" s="336"/>
    </row>
    <row r="21" spans="1:157" ht="14.5" thickTop="1" x14ac:dyDescent="0.3">
      <c r="A21" s="255"/>
      <c r="B21" s="255"/>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313"/>
      <c r="AN21" s="313"/>
      <c r="AO21" s="313"/>
      <c r="AP21" s="313"/>
      <c r="AQ21" s="313"/>
      <c r="AR21" s="313"/>
      <c r="AS21" s="313"/>
      <c r="AT21" s="313"/>
      <c r="AU21" s="313"/>
      <c r="AV21" s="313"/>
      <c r="AW21" s="313"/>
      <c r="AX21" s="313"/>
      <c r="AY21" s="313"/>
      <c r="AZ21" s="313"/>
      <c r="BA21" s="313"/>
      <c r="BB21" s="313"/>
      <c r="BC21" s="313"/>
      <c r="BD21" s="313"/>
      <c r="BE21" s="313"/>
      <c r="BF21" s="313"/>
      <c r="BG21" s="313"/>
      <c r="BH21" s="255"/>
      <c r="BI21" s="255"/>
      <c r="BJ21" s="255"/>
      <c r="BK21" s="255"/>
      <c r="BL21" s="255"/>
      <c r="BM21" s="255"/>
      <c r="BN21" s="255"/>
      <c r="BO21" s="255"/>
      <c r="BP21" s="255"/>
      <c r="BQ21" s="255"/>
      <c r="BR21" s="255"/>
      <c r="BS21" s="255"/>
      <c r="BT21" s="339"/>
      <c r="BU21" s="255"/>
      <c r="CG21" s="340"/>
      <c r="CH21" s="340"/>
      <c r="CI21" s="340"/>
      <c r="CJ21" s="340"/>
      <c r="CK21" s="340"/>
      <c r="CL21" s="340"/>
      <c r="CM21" s="340"/>
      <c r="CN21" s="340"/>
      <c r="CO21" s="340"/>
      <c r="CP21" s="340"/>
      <c r="CQ21" s="341"/>
      <c r="CR21" s="341"/>
      <c r="CS21" s="341"/>
      <c r="CT21" s="341"/>
      <c r="CU21" s="341"/>
      <c r="CV21" s="341"/>
    </row>
    <row r="22" spans="1:157" x14ac:dyDescent="0.3">
      <c r="A22" s="255"/>
      <c r="B22" s="255"/>
      <c r="C22" s="255"/>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342">
        <f>SUM(AM5:AM20)</f>
        <v>0</v>
      </c>
      <c r="AN22" s="255"/>
      <c r="AO22" s="342">
        <f>SUM(AO5:AO20)</f>
        <v>0</v>
      </c>
      <c r="AP22" s="342">
        <f>SUM(AP5:AP20)</f>
        <v>0</v>
      </c>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c r="BM22" s="255"/>
      <c r="BN22" s="255"/>
      <c r="BO22" s="255"/>
      <c r="BP22" s="255"/>
      <c r="BQ22" s="255"/>
      <c r="BR22" s="255"/>
      <c r="BS22" s="255"/>
      <c r="BT22" s="339"/>
      <c r="BU22" s="255"/>
    </row>
    <row r="23" spans="1:157" x14ac:dyDescent="0.3">
      <c r="AT23" s="343"/>
    </row>
    <row r="25" spans="1:157" x14ac:dyDescent="0.3">
      <c r="AS25" s="389">
        <f>SUM(AS5:AS20)</f>
        <v>0</v>
      </c>
      <c r="AT25" s="389">
        <f>SUM(AT5:AT20)</f>
        <v>0</v>
      </c>
    </row>
    <row r="50" spans="2:73" ht="39" customHeight="1" x14ac:dyDescent="0.3">
      <c r="B50" s="91" t="s">
        <v>52</v>
      </c>
      <c r="AM50" s="508">
        <f>SUM(AM5:AM48)</f>
        <v>0</v>
      </c>
      <c r="AN50" s="508"/>
      <c r="AO50" s="508">
        <f t="shared" ref="AO50:AP50" si="34">SUM(AO5:AO48)</f>
        <v>0</v>
      </c>
      <c r="AP50" s="508">
        <f t="shared" si="34"/>
        <v>0</v>
      </c>
      <c r="AQ50" s="508"/>
      <c r="AR50" s="508"/>
      <c r="AS50" s="508">
        <f t="shared" ref="AS50:AT50" si="35">SUM(AS5:AS48)</f>
        <v>0</v>
      </c>
      <c r="AT50" s="508">
        <f t="shared" si="35"/>
        <v>0</v>
      </c>
      <c r="BU50" s="290"/>
    </row>
  </sheetData>
  <mergeCells count="49">
    <mergeCell ref="A2:I2"/>
    <mergeCell ref="J2:AE2"/>
    <mergeCell ref="EU2:FA2"/>
    <mergeCell ref="AF2:AR2"/>
    <mergeCell ref="AS2:BG2"/>
    <mergeCell ref="BH2:BT2"/>
    <mergeCell ref="DN2:EI2"/>
    <mergeCell ref="AT3:AT4"/>
    <mergeCell ref="J3:S3"/>
    <mergeCell ref="T3:AC3"/>
    <mergeCell ref="AD3:AE3"/>
    <mergeCell ref="AG3:AH3"/>
    <mergeCell ref="AI3:AJ3"/>
    <mergeCell ref="AM3:AN3"/>
    <mergeCell ref="AO3:AO4"/>
    <mergeCell ref="AP3:AP4"/>
    <mergeCell ref="AQ3:AQ4"/>
    <mergeCell ref="AR3:AR4"/>
    <mergeCell ref="AS3:AS4"/>
    <mergeCell ref="BP3:BP4"/>
    <mergeCell ref="AU3:BD3"/>
    <mergeCell ref="BE3:BE4"/>
    <mergeCell ref="BF3:BF4"/>
    <mergeCell ref="BH3:BH4"/>
    <mergeCell ref="BI3:BI4"/>
    <mergeCell ref="BJ3:BJ4"/>
    <mergeCell ref="BK3:BK4"/>
    <mergeCell ref="BL3:BL4"/>
    <mergeCell ref="BM3:BM4"/>
    <mergeCell ref="BN3:BN4"/>
    <mergeCell ref="BO3:BO4"/>
    <mergeCell ref="EV3:EV4"/>
    <mergeCell ref="BQ3:BQ4"/>
    <mergeCell ref="BR3:BR4"/>
    <mergeCell ref="BS3:BS4"/>
    <mergeCell ref="BT3:BT4"/>
    <mergeCell ref="CG3:CQ3"/>
    <mergeCell ref="CR3:DB3"/>
    <mergeCell ref="DD3:DM3"/>
    <mergeCell ref="DN3:DX3"/>
    <mergeCell ref="DY3:EI3"/>
    <mergeCell ref="EJ3:ET3"/>
    <mergeCell ref="EU3:EU4"/>
    <mergeCell ref="BU3:BU4"/>
    <mergeCell ref="EW3:EW4"/>
    <mergeCell ref="EX3:EX4"/>
    <mergeCell ref="EY3:EY4"/>
    <mergeCell ref="EZ3:EZ4"/>
    <mergeCell ref="FA3:FA4"/>
  </mergeCells>
  <dataValidations count="8">
    <dataValidation type="list" allowBlank="1" showInputMessage="1" showErrorMessage="1" sqref="Y4:AC4" xr:uid="{984927D2-E88B-4452-9D7E-B91E78B3DC90}">
      <formula1>$I$4:$I$16</formula1>
    </dataValidation>
    <dataValidation type="list" allowBlank="1" showInputMessage="1" showErrorMessage="1" sqref="R5:R14 R19:R20" xr:uid="{410FE224-96DB-4203-A16E-BA70A0144113}">
      <formula1>$J$88:$J$91</formula1>
    </dataValidation>
    <dataValidation type="list" allowBlank="1" showInputMessage="1" showErrorMessage="1" sqref="M12 M5:M8" xr:uid="{9B498C20-1E58-42C3-B8DA-EC4CA5A8B963}">
      <formula1>$J$39:$J$45</formula1>
    </dataValidation>
    <dataValidation type="list" allowBlank="1" showInputMessage="1" showErrorMessage="1" sqref="L5:L8" xr:uid="{27035F2A-29DE-4C71-8B59-6A3D6D10B112}">
      <formula1>$J$30:$J$36</formula1>
    </dataValidation>
    <dataValidation type="list" allowBlank="1" showInputMessage="1" showErrorMessage="1" sqref="K5:K14 K19:K20" xr:uid="{69B55CF2-B1C6-4CEC-BA72-421627FCFBC6}">
      <formula1>$J$19:$J$26</formula1>
    </dataValidation>
    <dataValidation type="list" allowBlank="1" showInputMessage="1" showErrorMessage="1" sqref="J16:J20" xr:uid="{853A79B4-1AC7-4AB2-BB35-3D7842FBBC2F}">
      <formula1>$J$5:$J$14</formula1>
    </dataValidation>
    <dataValidation type="list" allowBlank="1" showInputMessage="1" showErrorMessage="1" sqref="F5:F14 F19:F20" xr:uid="{F74C853A-980C-4C13-AA41-42BEE15268C6}">
      <formula1>$H$4:$H$21</formula1>
    </dataValidation>
    <dataValidation type="list" allowBlank="1" showInputMessage="1" showErrorMessage="1" sqref="D14:D15 D17:D18" xr:uid="{74683626-5FB1-49EE-9C03-7C41AF45E2EE}">
      <formula1>$D$4:$D$19</formula1>
    </dataValidation>
  </dataValidations>
  <pageMargins left="0.7" right="0.7" top="0.75" bottom="0.75" header="0.3" footer="0.3"/>
  <headerFooter>
    <oddFooter>&amp;C_x000D_&amp;1#&amp;"Calibri"&amp;8&amp;K000000 INTERNAL. This information is accessible to ADB Management and staff. It may be shared outside ADB with appropriate permission.</oddFooter>
  </headerFooter>
  <extLst>
    <ext xmlns:x14="http://schemas.microsoft.com/office/spreadsheetml/2009/9/main" uri="{CCE6A557-97BC-4b89-ADB6-D9C93CAAB3DF}">
      <x14:dataValidations xmlns:xm="http://schemas.microsoft.com/office/excel/2006/main" count="18">
        <x14:dataValidation type="list" allowBlank="1" showInputMessage="1" showErrorMessage="1" xr:uid="{D01847C2-EFE4-4DD9-9055-B614A3C2819B}">
          <x14:formula1>
            <xm:f>'AR-Hierarchy '!$K$4:$K$17</xm:f>
          </x14:formula1>
          <xm:sqref>T5:AC20</xm:sqref>
        </x14:dataValidation>
        <x14:dataValidation type="list" allowBlank="1" showInputMessage="1" showErrorMessage="1" xr:uid="{48A48629-F91C-4DFA-B268-99DC3733040E}">
          <x14:formula1>
            <xm:f>'Inflation Adjustments'!$B$3:$BT$3</xm:f>
          </x14:formula1>
          <xm:sqref>AG16 AG5 AG7:AG11 AG19:AG21</xm:sqref>
        </x14:dataValidation>
        <x14:dataValidation type="list" allowBlank="1" showInputMessage="1" showErrorMessage="1" xr:uid="{DF6B5BB2-C15E-4771-8BCF-0B50D937DFBC}">
          <x14:formula1>
            <xm:f>'Condition rating weights'!$C$29:$C$34</xm:f>
          </x14:formula1>
          <xm:sqref>AU5:BF5</xm:sqref>
        </x14:dataValidation>
        <x14:dataValidation type="list" allowBlank="1" showInputMessage="1" showErrorMessage="1" xr:uid="{F71945A2-B2AF-4E8C-822F-B70DF7A2FE6B}">
          <x14:formula1>
            <xm:f>'AR-Hierarchy '!$H$4:$H$20</xm:f>
          </x14:formula1>
          <xm:sqref>F16</xm:sqref>
        </x14:dataValidation>
        <x14:dataValidation type="list" allowBlank="1" showInputMessage="1" showErrorMessage="1" xr:uid="{1162BF0C-4EBD-4484-8FFE-D81F096E5CF9}">
          <x14:formula1>
            <xm:f>'AR-Hierarchy '!$I$4:$I$14</xm:f>
          </x14:formula1>
          <xm:sqref>J4:S4</xm:sqref>
        </x14:dataValidation>
        <x14:dataValidation type="list" allowBlank="1" showInputMessage="1" showErrorMessage="1" xr:uid="{0D825658-B2B2-4E79-9AAF-A5C71E92BA46}">
          <x14:formula1>
            <xm:f>'AR-Hierarchy '!$J$14:$J$21</xm:f>
          </x14:formula1>
          <xm:sqref>K16</xm:sqref>
        </x14:dataValidation>
        <x14:dataValidation type="list" allowBlank="1" showInputMessage="1" showErrorMessage="1" xr:uid="{BD325F47-90A0-4405-B730-247A39EA18FE}">
          <x14:formula1>
            <xm:f>'AR-Hierarchy '!$J$5:$J$12</xm:f>
          </x14:formula1>
          <xm:sqref>J5:J8</xm:sqref>
        </x14:dataValidation>
        <x14:dataValidation type="list" allowBlank="1" showInputMessage="1" showErrorMessage="1" xr:uid="{9B71BEE6-75B4-4E8E-8B4A-408C2A157FBE}">
          <x14:formula1>
            <xm:f>'AR-Hierarchy '!$J$24:$J$32</xm:f>
          </x14:formula1>
          <xm:sqref>L12:L14</xm:sqref>
        </x14:dataValidation>
        <x14:dataValidation type="list" allowBlank="1" showInputMessage="1" showErrorMessage="1" xr:uid="{C28C547F-D0D9-4823-80AD-86FBA7C014AC}">
          <x14:formula1>
            <xm:f>'AR-Hierarchy '!$J$35:$J$41</xm:f>
          </x14:formula1>
          <xm:sqref>M14</xm:sqref>
        </x14:dataValidation>
        <x14:dataValidation type="list" allowBlank="1" showInputMessage="1" showErrorMessage="1" xr:uid="{3B0CC0F7-32CC-45E8-BD58-27A4BC4CB557}">
          <x14:formula1>
            <xm:f>'AR-Hierarchy '!$J$45:$J$51</xm:f>
          </x14:formula1>
          <xm:sqref>N5:N8</xm:sqref>
        </x14:dataValidation>
        <x14:dataValidation type="list" allowBlank="1" showInputMessage="1" showErrorMessage="1" xr:uid="{F56EF72B-7EE8-443A-B28F-5271E7FE142B}">
          <x14:formula1>
            <xm:f>'AR-Hierarchy '!$J$54:$J$60</xm:f>
          </x14:formula1>
          <xm:sqref>O5:O14</xm:sqref>
        </x14:dataValidation>
        <x14:dataValidation type="list" allowBlank="1" showInputMessage="1" showErrorMessage="1" xr:uid="{ECC85A45-8123-4452-A94F-D360DAF15AD1}">
          <x14:formula1>
            <xm:f>'AR-Hierarchy '!$J$63:$J$68</xm:f>
          </x14:formula1>
          <xm:sqref>P5:P14</xm:sqref>
        </x14:dataValidation>
        <x14:dataValidation type="list" allowBlank="1" showInputMessage="1" showErrorMessage="1" xr:uid="{9BE635CA-7D51-4782-8F6B-7AD1CF1DD397}">
          <x14:formula1>
            <xm:f>'AR-Hierarchy '!$J$72:$J$77</xm:f>
          </x14:formula1>
          <xm:sqref>Q5:Q20</xm:sqref>
        </x14:dataValidation>
        <x14:dataValidation type="list" allowBlank="1" showInputMessage="1" showErrorMessage="1" xr:uid="{0E64618E-199A-454E-8C78-36D4D8979D48}">
          <x14:formula1>
            <xm:f>'AR-Hierarchy '!$J$80:$J$83</xm:f>
          </x14:formula1>
          <xm:sqref>R16</xm:sqref>
        </x14:dataValidation>
        <x14:dataValidation type="list" allowBlank="1" showInputMessage="1" showErrorMessage="1" xr:uid="{045C9E4A-C9EA-432C-878F-3E6B592B9178}">
          <x14:formula1>
            <xm:f>'AR-Hierarchy '!$J$86:$J$90</xm:f>
          </x14:formula1>
          <xm:sqref>S5:S14</xm:sqref>
        </x14:dataValidation>
        <x14:dataValidation type="list" allowBlank="1" showInputMessage="1" showErrorMessage="1" xr:uid="{F158AF21-D5CC-4436-9D27-67D2A213A412}">
          <x14:formula1>
            <xm:f>'AR-Hierarchy '!#REF!</xm:f>
          </x14:formula1>
          <xm:sqref>D7:D12 E5:E14</xm:sqref>
        </x14:dataValidation>
        <x14:dataValidation type="list" allowBlank="1" showInputMessage="1" showErrorMessage="1" xr:uid="{21113AE4-FC91-429D-A700-694D4303EAA3}">
          <x14:formula1>
            <xm:f>'AR-Hierarchy '!$D$4:$D$33</xm:f>
          </x14:formula1>
          <xm:sqref>D5</xm:sqref>
        </x14:dataValidation>
        <x14:dataValidation type="list" allowBlank="1" showInputMessage="1" showErrorMessage="1" xr:uid="{490F7B13-F17A-4741-80EA-175F079690B3}">
          <x14:formula1>
            <xm:f>'AR-Hierarchy '!$B$4:$B$53</xm:f>
          </x14:formula1>
          <xm:sqref>C5:C14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38D11-D46D-4A0A-879D-F4F6AD475A52}">
  <dimension ref="A1:FI50"/>
  <sheetViews>
    <sheetView topLeftCell="AL34" workbookViewId="0">
      <selection activeCell="AN53" sqref="AN53"/>
    </sheetView>
  </sheetViews>
  <sheetFormatPr defaultColWidth="8.81640625" defaultRowHeight="14" x14ac:dyDescent="0.3"/>
  <cols>
    <col min="1" max="71" width="35.6328125" style="91" customWidth="1"/>
    <col min="72" max="73" width="35.6328125" style="290" customWidth="1"/>
    <col min="74" max="75" width="8.81640625" style="91"/>
    <col min="76" max="76" width="8.81640625" style="91" customWidth="1"/>
    <col min="77" max="77" width="16.08984375" style="91" customWidth="1"/>
    <col min="78" max="85" width="8.81640625" style="91" customWidth="1"/>
    <col min="86" max="86" width="12.08984375" style="91" customWidth="1"/>
    <col min="87" max="87" width="10.90625" style="91" customWidth="1"/>
    <col min="88" max="88" width="11.81640625" style="91" customWidth="1"/>
    <col min="89" max="89" width="11" style="91" customWidth="1"/>
    <col min="90" max="90" width="11.453125" style="91" customWidth="1"/>
    <col min="91" max="91" width="12.54296875" style="91" customWidth="1"/>
    <col min="92" max="92" width="11.08984375" style="91" customWidth="1"/>
    <col min="93" max="93" width="8.81640625" style="91" customWidth="1"/>
    <col min="94" max="94" width="10.453125" style="91" customWidth="1"/>
    <col min="95" max="95" width="11.08984375" style="91" customWidth="1"/>
    <col min="96" max="101" width="12.1796875" style="91" customWidth="1"/>
    <col min="102" max="102" width="11.90625" style="91" customWidth="1"/>
    <col min="103" max="103" width="10.6328125" style="91" customWidth="1"/>
    <col min="104" max="104" width="8.81640625" style="91" customWidth="1"/>
    <col min="105" max="105" width="10.81640625" style="91" customWidth="1"/>
    <col min="106" max="106" width="8.81640625" style="91" customWidth="1"/>
    <col min="107" max="107" width="12" style="91" customWidth="1"/>
    <col min="108" max="108" width="16.36328125" style="91" customWidth="1"/>
    <col min="109" max="109" width="11.1796875" style="91" customWidth="1"/>
    <col min="110" max="113" width="10.6328125" style="91" customWidth="1"/>
    <col min="114" max="114" width="10" style="91" customWidth="1"/>
    <col min="115" max="115" width="10.90625" style="91" customWidth="1"/>
    <col min="116" max="116" width="9.08984375" style="91" customWidth="1"/>
    <col min="117" max="117" width="10.81640625" style="91" customWidth="1"/>
    <col min="118" max="118" width="8.81640625" style="91" customWidth="1"/>
    <col min="119" max="119" width="11.36328125" style="91" customWidth="1"/>
    <col min="120" max="123" width="10.81640625" style="91" customWidth="1"/>
    <col min="124" max="124" width="8.81640625" style="91" customWidth="1"/>
    <col min="125" max="125" width="9.08984375" style="91" customWidth="1"/>
    <col min="126" max="129" width="8.81640625" style="91" customWidth="1"/>
    <col min="130" max="130" width="11.36328125" style="91" customWidth="1"/>
    <col min="131" max="135" width="10.08984375" style="91" customWidth="1"/>
    <col min="136" max="139" width="8.81640625" style="91" customWidth="1"/>
    <col min="140" max="151" width="11.08984375" style="91" customWidth="1"/>
    <col min="152" max="155" width="11.54296875" style="91" customWidth="1"/>
    <col min="156" max="156" width="11.81640625" style="91" customWidth="1"/>
    <col min="157" max="158" width="12.1796875" style="91" customWidth="1"/>
    <col min="159" max="159" width="8.81640625" style="91" customWidth="1"/>
    <col min="160" max="160" width="13.1796875" style="91" customWidth="1"/>
    <col min="161" max="161" width="11.1796875" style="91" customWidth="1"/>
    <col min="162" max="163" width="8.81640625" style="91"/>
    <col min="164" max="164" width="32.453125" style="91" customWidth="1"/>
    <col min="165" max="16384" width="8.81640625" style="91"/>
  </cols>
  <sheetData>
    <row r="1" spans="1:165" ht="29.5" customHeight="1" thickTop="1" x14ac:dyDescent="0.3">
      <c r="A1" s="653" t="s">
        <v>32</v>
      </c>
      <c r="B1" s="654"/>
      <c r="C1" s="288">
        <v>2023</v>
      </c>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row>
    <row r="2" spans="1:165" ht="42" customHeight="1" thickBot="1" x14ac:dyDescent="0.35">
      <c r="A2" s="584" t="s">
        <v>1419</v>
      </c>
      <c r="B2" s="585"/>
      <c r="C2" s="585"/>
      <c r="D2" s="585"/>
      <c r="E2" s="585"/>
      <c r="F2" s="585"/>
      <c r="G2" s="585"/>
      <c r="H2" s="585"/>
      <c r="I2" s="585"/>
      <c r="J2" s="624" t="s">
        <v>298</v>
      </c>
      <c r="K2" s="585"/>
      <c r="L2" s="585"/>
      <c r="M2" s="585"/>
      <c r="N2" s="585"/>
      <c r="O2" s="585"/>
      <c r="P2" s="585"/>
      <c r="Q2" s="585"/>
      <c r="R2" s="585"/>
      <c r="S2" s="585"/>
      <c r="T2" s="585"/>
      <c r="U2" s="585"/>
      <c r="V2" s="585"/>
      <c r="W2" s="585"/>
      <c r="X2" s="585"/>
      <c r="Y2" s="585"/>
      <c r="Z2" s="585"/>
      <c r="AA2" s="585"/>
      <c r="AB2" s="585"/>
      <c r="AC2" s="585"/>
      <c r="AD2" s="585"/>
      <c r="AE2" s="586"/>
      <c r="AF2" s="592" t="s">
        <v>267</v>
      </c>
      <c r="AG2" s="593"/>
      <c r="AH2" s="593"/>
      <c r="AI2" s="593"/>
      <c r="AJ2" s="593"/>
      <c r="AK2" s="593"/>
      <c r="AL2" s="593"/>
      <c r="AM2" s="593"/>
      <c r="AN2" s="593"/>
      <c r="AO2" s="593"/>
      <c r="AP2" s="593"/>
      <c r="AQ2" s="593"/>
      <c r="AR2" s="594"/>
      <c r="AS2" s="592" t="s">
        <v>268</v>
      </c>
      <c r="AT2" s="593"/>
      <c r="AU2" s="593"/>
      <c r="AV2" s="593"/>
      <c r="AW2" s="593"/>
      <c r="AX2" s="593"/>
      <c r="AY2" s="593"/>
      <c r="AZ2" s="593"/>
      <c r="BA2" s="593"/>
      <c r="BB2" s="593"/>
      <c r="BC2" s="593"/>
      <c r="BD2" s="593"/>
      <c r="BE2" s="593"/>
      <c r="BF2" s="593"/>
      <c r="BG2" s="593"/>
      <c r="BH2" s="597" t="s">
        <v>312</v>
      </c>
      <c r="BI2" s="598"/>
      <c r="BJ2" s="598"/>
      <c r="BK2" s="598"/>
      <c r="BL2" s="598"/>
      <c r="BM2" s="598"/>
      <c r="BN2" s="598"/>
      <c r="BO2" s="598"/>
      <c r="BP2" s="598"/>
      <c r="BQ2" s="598"/>
      <c r="BR2" s="598"/>
      <c r="BS2" s="598"/>
      <c r="BT2" s="599"/>
      <c r="BU2" s="390"/>
      <c r="DO2" s="589" t="s">
        <v>828</v>
      </c>
      <c r="DP2" s="589"/>
      <c r="DQ2" s="589"/>
      <c r="DR2" s="589"/>
      <c r="DS2" s="589"/>
      <c r="DT2" s="589"/>
      <c r="DU2" s="589"/>
      <c r="DV2" s="589"/>
      <c r="DW2" s="589"/>
      <c r="DX2" s="589"/>
      <c r="DY2" s="589"/>
      <c r="DZ2" s="589"/>
      <c r="EA2" s="589"/>
      <c r="EB2" s="589"/>
      <c r="EC2" s="589"/>
      <c r="ED2" s="589"/>
      <c r="EE2" s="589"/>
      <c r="EF2" s="589"/>
      <c r="EG2" s="589"/>
      <c r="EH2" s="589"/>
      <c r="EI2" s="589"/>
      <c r="EJ2" s="589"/>
      <c r="EK2" s="93"/>
      <c r="EL2" s="93"/>
      <c r="EM2" s="93"/>
      <c r="EN2" s="93"/>
      <c r="EO2" s="93"/>
      <c r="EP2" s="93"/>
      <c r="EQ2" s="93"/>
      <c r="ER2" s="93"/>
      <c r="ES2" s="93"/>
      <c r="ET2" s="93"/>
      <c r="EU2" s="93"/>
      <c r="EV2" s="590" t="s">
        <v>829</v>
      </c>
      <c r="EW2" s="590"/>
      <c r="EX2" s="590"/>
      <c r="EY2" s="590"/>
      <c r="EZ2" s="590"/>
      <c r="FA2" s="590"/>
      <c r="FB2" s="590"/>
    </row>
    <row r="3" spans="1:165" ht="42" customHeight="1" thickTop="1" x14ac:dyDescent="0.3">
      <c r="A3" s="293" t="s">
        <v>0</v>
      </c>
      <c r="B3" s="294" t="s">
        <v>34</v>
      </c>
      <c r="C3" s="294" t="s">
        <v>250</v>
      </c>
      <c r="D3" s="294" t="s">
        <v>251</v>
      </c>
      <c r="E3" s="294" t="s">
        <v>1</v>
      </c>
      <c r="F3" s="294" t="s">
        <v>2</v>
      </c>
      <c r="G3" s="294" t="s">
        <v>252</v>
      </c>
      <c r="H3" s="294" t="s">
        <v>30</v>
      </c>
      <c r="I3" s="294" t="s">
        <v>31</v>
      </c>
      <c r="J3" s="616" t="s">
        <v>253</v>
      </c>
      <c r="K3" s="625"/>
      <c r="L3" s="625"/>
      <c r="M3" s="625"/>
      <c r="N3" s="625"/>
      <c r="O3" s="625"/>
      <c r="P3" s="625"/>
      <c r="Q3" s="625"/>
      <c r="R3" s="625"/>
      <c r="S3" s="626"/>
      <c r="T3" s="616" t="s">
        <v>254</v>
      </c>
      <c r="U3" s="625"/>
      <c r="V3" s="625"/>
      <c r="W3" s="625"/>
      <c r="X3" s="625"/>
      <c r="Y3" s="625"/>
      <c r="Z3" s="625"/>
      <c r="AA3" s="625"/>
      <c r="AB3" s="625"/>
      <c r="AC3" s="626"/>
      <c r="AD3" s="391" t="s">
        <v>255</v>
      </c>
      <c r="AE3" s="392"/>
      <c r="AF3" s="294" t="s">
        <v>259</v>
      </c>
      <c r="AG3" s="393" t="s">
        <v>38</v>
      </c>
      <c r="AH3" s="394"/>
      <c r="AI3" s="393" t="s">
        <v>261</v>
      </c>
      <c r="AJ3" s="395"/>
      <c r="AK3" s="296"/>
      <c r="AL3" s="296"/>
      <c r="AM3" s="395" t="s">
        <v>262</v>
      </c>
      <c r="AN3" s="395"/>
      <c r="AO3" s="395" t="s">
        <v>263</v>
      </c>
      <c r="AP3" s="395" t="s">
        <v>326</v>
      </c>
      <c r="AQ3" s="394" t="s">
        <v>33</v>
      </c>
      <c r="AR3" s="396" t="s">
        <v>264</v>
      </c>
      <c r="AS3" s="609" t="s">
        <v>265</v>
      </c>
      <c r="AT3" s="609" t="s">
        <v>266</v>
      </c>
      <c r="AU3" s="603" t="s">
        <v>53</v>
      </c>
      <c r="AV3" s="591"/>
      <c r="AW3" s="591"/>
      <c r="AX3" s="591"/>
      <c r="AY3" s="591"/>
      <c r="AZ3" s="591"/>
      <c r="BA3" s="591"/>
      <c r="BB3" s="591"/>
      <c r="BC3" s="591"/>
      <c r="BD3" s="604"/>
      <c r="BE3" s="609" t="s">
        <v>1580</v>
      </c>
      <c r="BF3" s="609"/>
      <c r="BG3" s="295" t="s">
        <v>1442</v>
      </c>
      <c r="BH3" s="605" t="s">
        <v>299</v>
      </c>
      <c r="BI3" s="605" t="s">
        <v>300</v>
      </c>
      <c r="BJ3" s="605" t="s">
        <v>301</v>
      </c>
      <c r="BK3" s="605" t="s">
        <v>302</v>
      </c>
      <c r="BL3" s="605" t="s">
        <v>303</v>
      </c>
      <c r="BM3" s="605" t="s">
        <v>304</v>
      </c>
      <c r="BN3" s="605" t="s">
        <v>305</v>
      </c>
      <c r="BO3" s="605" t="s">
        <v>306</v>
      </c>
      <c r="BP3" s="605" t="s">
        <v>307</v>
      </c>
      <c r="BQ3" s="605" t="s">
        <v>308</v>
      </c>
      <c r="BR3" s="605" t="s">
        <v>309</v>
      </c>
      <c r="BS3" s="605" t="s">
        <v>310</v>
      </c>
      <c r="BT3" s="616" t="s">
        <v>311</v>
      </c>
      <c r="BU3" s="617" t="s">
        <v>1428</v>
      </c>
      <c r="BY3" s="144"/>
      <c r="BZ3" s="144"/>
      <c r="CA3" s="372" t="s">
        <v>809</v>
      </c>
      <c r="CB3" s="144"/>
      <c r="CC3" s="144"/>
      <c r="CD3" s="144"/>
      <c r="CE3" s="144"/>
      <c r="CF3" s="144"/>
      <c r="CG3" s="144"/>
      <c r="CH3" s="639" t="s">
        <v>816</v>
      </c>
      <c r="CI3" s="639"/>
      <c r="CJ3" s="639"/>
      <c r="CK3" s="639"/>
      <c r="CL3" s="639"/>
      <c r="CM3" s="639"/>
      <c r="CN3" s="639"/>
      <c r="CO3" s="639"/>
      <c r="CP3" s="639"/>
      <c r="CQ3" s="639"/>
      <c r="CR3" s="639"/>
      <c r="CS3" s="646" t="s">
        <v>262</v>
      </c>
      <c r="CT3" s="646"/>
      <c r="CU3" s="646"/>
      <c r="CV3" s="646"/>
      <c r="CW3" s="646"/>
      <c r="CX3" s="646"/>
      <c r="CY3" s="646"/>
      <c r="CZ3" s="646"/>
      <c r="DA3" s="646"/>
      <c r="DB3" s="646"/>
      <c r="DC3" s="646"/>
      <c r="DD3" s="371"/>
      <c r="DE3" s="639" t="s">
        <v>825</v>
      </c>
      <c r="DF3" s="639"/>
      <c r="DG3" s="639"/>
      <c r="DH3" s="639"/>
      <c r="DI3" s="639"/>
      <c r="DJ3" s="639"/>
      <c r="DK3" s="639"/>
      <c r="DL3" s="639"/>
      <c r="DM3" s="639"/>
      <c r="DN3" s="639"/>
      <c r="DO3" s="646" t="s">
        <v>827</v>
      </c>
      <c r="DP3" s="646"/>
      <c r="DQ3" s="646"/>
      <c r="DR3" s="646"/>
      <c r="DS3" s="646"/>
      <c r="DT3" s="646"/>
      <c r="DU3" s="646"/>
      <c r="DV3" s="646"/>
      <c r="DW3" s="646"/>
      <c r="DX3" s="646"/>
      <c r="DY3" s="646"/>
      <c r="DZ3" s="639" t="s">
        <v>826</v>
      </c>
      <c r="EA3" s="639"/>
      <c r="EB3" s="639"/>
      <c r="EC3" s="639"/>
      <c r="ED3" s="639"/>
      <c r="EE3" s="639"/>
      <c r="EF3" s="639"/>
      <c r="EG3" s="639"/>
      <c r="EH3" s="639"/>
      <c r="EI3" s="639"/>
      <c r="EJ3" s="639"/>
      <c r="EK3" s="646" t="s">
        <v>833</v>
      </c>
      <c r="EL3" s="646"/>
      <c r="EM3" s="646"/>
      <c r="EN3" s="646"/>
      <c r="EO3" s="646"/>
      <c r="EP3" s="646"/>
      <c r="EQ3" s="646"/>
      <c r="ER3" s="646"/>
      <c r="ES3" s="646"/>
      <c r="ET3" s="646"/>
      <c r="EU3" s="646"/>
      <c r="EV3" s="645" t="s">
        <v>1026</v>
      </c>
      <c r="EW3" s="645" t="s">
        <v>1022</v>
      </c>
      <c r="EX3" s="645" t="s">
        <v>1023</v>
      </c>
      <c r="EY3" s="645" t="s">
        <v>1027</v>
      </c>
      <c r="EZ3" s="645" t="s">
        <v>1024</v>
      </c>
      <c r="FA3" s="645" t="s">
        <v>1025</v>
      </c>
      <c r="FB3" s="645" t="s">
        <v>33</v>
      </c>
    </row>
    <row r="4" spans="1:165" ht="32" customHeight="1" thickBot="1" x14ac:dyDescent="0.35">
      <c r="A4" s="397"/>
      <c r="B4" s="398"/>
      <c r="C4" s="399"/>
      <c r="D4" s="399"/>
      <c r="E4" s="399"/>
      <c r="F4" s="399"/>
      <c r="G4" s="399"/>
      <c r="H4" s="399"/>
      <c r="I4" s="399"/>
      <c r="J4" s="399" t="s">
        <v>105</v>
      </c>
      <c r="K4" s="399" t="s">
        <v>106</v>
      </c>
      <c r="L4" s="399" t="s">
        <v>107</v>
      </c>
      <c r="M4" s="399" t="s">
        <v>108</v>
      </c>
      <c r="N4" s="399" t="s">
        <v>109</v>
      </c>
      <c r="O4" s="399" t="s">
        <v>120</v>
      </c>
      <c r="P4" s="399" t="s">
        <v>111</v>
      </c>
      <c r="Q4" s="399" t="s">
        <v>112</v>
      </c>
      <c r="R4" s="399" t="s">
        <v>113</v>
      </c>
      <c r="S4" s="399" t="s">
        <v>110</v>
      </c>
      <c r="T4" s="399" t="s">
        <v>935</v>
      </c>
      <c r="U4" s="399" t="s">
        <v>936</v>
      </c>
      <c r="V4" s="399" t="s">
        <v>937</v>
      </c>
      <c r="W4" s="399" t="s">
        <v>938</v>
      </c>
      <c r="X4" s="399" t="s">
        <v>939</v>
      </c>
      <c r="Y4" s="399" t="s">
        <v>120</v>
      </c>
      <c r="Z4" s="399" t="s">
        <v>111</v>
      </c>
      <c r="AA4" s="399" t="s">
        <v>112</v>
      </c>
      <c r="AB4" s="399" t="s">
        <v>113</v>
      </c>
      <c r="AC4" s="399" t="s">
        <v>110</v>
      </c>
      <c r="AD4" s="399" t="s">
        <v>256</v>
      </c>
      <c r="AE4" s="399" t="s">
        <v>257</v>
      </c>
      <c r="AF4" s="399"/>
      <c r="AG4" s="399" t="s">
        <v>38</v>
      </c>
      <c r="AH4" s="399" t="s">
        <v>260</v>
      </c>
      <c r="AI4" s="399" t="s">
        <v>261</v>
      </c>
      <c r="AJ4" s="399" t="s">
        <v>260</v>
      </c>
      <c r="AK4" s="399" t="s">
        <v>715</v>
      </c>
      <c r="AL4" s="399" t="s">
        <v>716</v>
      </c>
      <c r="AM4" s="399" t="s">
        <v>262</v>
      </c>
      <c r="AN4" s="399" t="s">
        <v>260</v>
      </c>
      <c r="AO4" s="400"/>
      <c r="AP4" s="400"/>
      <c r="AQ4" s="401"/>
      <c r="AR4" s="402"/>
      <c r="AS4" s="651"/>
      <c r="AT4" s="651"/>
      <c r="AU4" s="399" t="s">
        <v>164</v>
      </c>
      <c r="AV4" s="399" t="s">
        <v>36</v>
      </c>
      <c r="AW4" s="399" t="s">
        <v>5</v>
      </c>
      <c r="AX4" s="399" t="s">
        <v>3</v>
      </c>
      <c r="AY4" s="399" t="s">
        <v>165</v>
      </c>
      <c r="AZ4" s="399" t="s">
        <v>166</v>
      </c>
      <c r="BA4" s="399" t="s">
        <v>1578</v>
      </c>
      <c r="BB4" s="399"/>
      <c r="BC4" s="399"/>
      <c r="BD4" s="399"/>
      <c r="BE4" s="651"/>
      <c r="BF4" s="651"/>
      <c r="BG4" s="403" t="s">
        <v>37</v>
      </c>
      <c r="BH4" s="650"/>
      <c r="BI4" s="650"/>
      <c r="BJ4" s="650"/>
      <c r="BK4" s="650"/>
      <c r="BL4" s="650"/>
      <c r="BM4" s="650"/>
      <c r="BN4" s="650"/>
      <c r="BO4" s="650"/>
      <c r="BP4" s="650"/>
      <c r="BQ4" s="650"/>
      <c r="BR4" s="650"/>
      <c r="BS4" s="650"/>
      <c r="BT4" s="652"/>
      <c r="BU4" s="627"/>
      <c r="BY4" s="373"/>
      <c r="BZ4" s="376" t="str">
        <f>'AR-Hierarchy '!K4</f>
        <v>Basic Design</v>
      </c>
      <c r="CA4" s="376" t="str">
        <f>'AR-Hierarchy '!K5</f>
        <v>Standard Design</v>
      </c>
      <c r="CB4" s="376" t="str">
        <f>'AR-Hierarchy '!K6</f>
        <v xml:space="preserve">Superior Design </v>
      </c>
      <c r="CC4" s="376" t="str">
        <f>'AR-Hierarchy '!K7</f>
        <v>None</v>
      </c>
      <c r="CD4" s="376" t="str">
        <f>BZ4</f>
        <v>Basic Design</v>
      </c>
      <c r="CE4" s="376" t="str">
        <f>CA4</f>
        <v>Standard Design</v>
      </c>
      <c r="CF4" s="376" t="str">
        <f>CB4</f>
        <v xml:space="preserve">Superior Design </v>
      </c>
      <c r="CG4" s="373" t="s">
        <v>117</v>
      </c>
      <c r="CH4" s="374" t="str">
        <f>BY5</f>
        <v>Substructure</v>
      </c>
      <c r="CI4" s="371" t="str">
        <f>BY6</f>
        <v>Structure</v>
      </c>
      <c r="CJ4" s="371" t="str">
        <f>BY7</f>
        <v>Roofing</v>
      </c>
      <c r="CK4" s="374" t="str">
        <f>BY8</f>
        <v>Exterior Wall Cladding</v>
      </c>
      <c r="CL4" s="371" t="str">
        <f>BY9</f>
        <v>Fitouts</v>
      </c>
      <c r="CM4" s="371" t="str">
        <f>BY10</f>
        <v>Floor Covering</v>
      </c>
      <c r="CN4" s="374" t="str">
        <f>BY11</f>
        <v>Service Mechanical</v>
      </c>
      <c r="CO4" s="374" t="str">
        <f>BY12</f>
        <v>Services Electrical</v>
      </c>
      <c r="CP4" s="374" t="str">
        <f>BY13</f>
        <v>Services Sanitation</v>
      </c>
      <c r="CQ4" s="374" t="str">
        <f>BY14</f>
        <v>Services Water</v>
      </c>
      <c r="CR4" s="374" t="s">
        <v>823</v>
      </c>
      <c r="CS4" s="376" t="str">
        <f>CH4</f>
        <v>Substructure</v>
      </c>
      <c r="CT4" s="376" t="str">
        <f t="shared" ref="CT4:DB4" si="0">CI4</f>
        <v>Structure</v>
      </c>
      <c r="CU4" s="376" t="str">
        <f t="shared" si="0"/>
        <v>Roofing</v>
      </c>
      <c r="CV4" s="376" t="str">
        <f t="shared" si="0"/>
        <v>Exterior Wall Cladding</v>
      </c>
      <c r="CW4" s="376" t="str">
        <f t="shared" si="0"/>
        <v>Fitouts</v>
      </c>
      <c r="CX4" s="376" t="str">
        <f t="shared" si="0"/>
        <v>Floor Covering</v>
      </c>
      <c r="CY4" s="376" t="str">
        <f t="shared" si="0"/>
        <v>Service Mechanical</v>
      </c>
      <c r="CZ4" s="376" t="str">
        <f t="shared" si="0"/>
        <v>Services Electrical</v>
      </c>
      <c r="DA4" s="376" t="str">
        <f t="shared" si="0"/>
        <v>Services Sanitation</v>
      </c>
      <c r="DB4" s="376" t="str">
        <f t="shared" si="0"/>
        <v>Services Water</v>
      </c>
      <c r="DC4" s="376" t="s">
        <v>824</v>
      </c>
      <c r="DD4" s="374" t="s">
        <v>1028</v>
      </c>
      <c r="DE4" s="374" t="str">
        <f>CS4</f>
        <v>Substructure</v>
      </c>
      <c r="DF4" s="374" t="str">
        <f t="shared" ref="DF4:DN4" si="1">CT4</f>
        <v>Structure</v>
      </c>
      <c r="DG4" s="374" t="str">
        <f t="shared" si="1"/>
        <v>Roofing</v>
      </c>
      <c r="DH4" s="374" t="str">
        <f t="shared" si="1"/>
        <v>Exterior Wall Cladding</v>
      </c>
      <c r="DI4" s="374" t="str">
        <f t="shared" si="1"/>
        <v>Fitouts</v>
      </c>
      <c r="DJ4" s="374" t="str">
        <f t="shared" si="1"/>
        <v>Floor Covering</v>
      </c>
      <c r="DK4" s="374" t="str">
        <f t="shared" si="1"/>
        <v>Service Mechanical</v>
      </c>
      <c r="DL4" s="374" t="str">
        <f t="shared" si="1"/>
        <v>Services Electrical</v>
      </c>
      <c r="DM4" s="374" t="str">
        <f t="shared" si="1"/>
        <v>Services Sanitation</v>
      </c>
      <c r="DN4" s="374" t="str">
        <f t="shared" si="1"/>
        <v>Services Water</v>
      </c>
      <c r="DO4" s="376" t="str">
        <f>DE4</f>
        <v>Substructure</v>
      </c>
      <c r="DP4" s="376" t="str">
        <f t="shared" ref="DP4:DX4" si="2">DF4</f>
        <v>Structure</v>
      </c>
      <c r="DQ4" s="376" t="str">
        <f t="shared" si="2"/>
        <v>Roofing</v>
      </c>
      <c r="DR4" s="376" t="str">
        <f t="shared" si="2"/>
        <v>Exterior Wall Cladding</v>
      </c>
      <c r="DS4" s="376" t="str">
        <f t="shared" si="2"/>
        <v>Fitouts</v>
      </c>
      <c r="DT4" s="376" t="str">
        <f t="shared" si="2"/>
        <v>Floor Covering</v>
      </c>
      <c r="DU4" s="376" t="str">
        <f t="shared" si="2"/>
        <v>Service Mechanical</v>
      </c>
      <c r="DV4" s="376" t="str">
        <f t="shared" si="2"/>
        <v>Services Electrical</v>
      </c>
      <c r="DW4" s="376" t="str">
        <f t="shared" si="2"/>
        <v>Services Sanitation</v>
      </c>
      <c r="DX4" s="376" t="str">
        <f t="shared" si="2"/>
        <v>Services Water</v>
      </c>
      <c r="DY4" s="376" t="s">
        <v>1021</v>
      </c>
      <c r="DZ4" s="374" t="str">
        <f>DO4</f>
        <v>Substructure</v>
      </c>
      <c r="EA4" s="374" t="str">
        <f t="shared" ref="EA4:EI4" si="3">DP4</f>
        <v>Structure</v>
      </c>
      <c r="EB4" s="374" t="str">
        <f t="shared" si="3"/>
        <v>Roofing</v>
      </c>
      <c r="EC4" s="374" t="str">
        <f t="shared" si="3"/>
        <v>Exterior Wall Cladding</v>
      </c>
      <c r="ED4" s="374" t="str">
        <f t="shared" si="3"/>
        <v>Fitouts</v>
      </c>
      <c r="EE4" s="374" t="str">
        <f t="shared" si="3"/>
        <v>Floor Covering</v>
      </c>
      <c r="EF4" s="374" t="str">
        <f t="shared" si="3"/>
        <v>Service Mechanical</v>
      </c>
      <c r="EG4" s="374" t="str">
        <f t="shared" si="3"/>
        <v>Services Electrical</v>
      </c>
      <c r="EH4" s="374" t="str">
        <f t="shared" si="3"/>
        <v>Services Sanitation</v>
      </c>
      <c r="EI4" s="374" t="str">
        <f t="shared" si="3"/>
        <v>Services Water</v>
      </c>
      <c r="EJ4" s="374" t="s">
        <v>1021</v>
      </c>
      <c r="EK4" s="376" t="str">
        <f>DZ4</f>
        <v>Substructure</v>
      </c>
      <c r="EL4" s="376" t="str">
        <f t="shared" ref="EL4:ET4" si="4">EA4</f>
        <v>Structure</v>
      </c>
      <c r="EM4" s="376" t="str">
        <f t="shared" si="4"/>
        <v>Roofing</v>
      </c>
      <c r="EN4" s="376" t="str">
        <f t="shared" si="4"/>
        <v>Exterior Wall Cladding</v>
      </c>
      <c r="EO4" s="376" t="str">
        <f t="shared" si="4"/>
        <v>Fitouts</v>
      </c>
      <c r="EP4" s="376" t="str">
        <f t="shared" si="4"/>
        <v>Floor Covering</v>
      </c>
      <c r="EQ4" s="376" t="str">
        <f t="shared" si="4"/>
        <v>Service Mechanical</v>
      </c>
      <c r="ER4" s="376" t="str">
        <f t="shared" si="4"/>
        <v>Services Electrical</v>
      </c>
      <c r="ES4" s="376" t="str">
        <f t="shared" si="4"/>
        <v>Services Sanitation</v>
      </c>
      <c r="ET4" s="376" t="str">
        <f t="shared" si="4"/>
        <v>Services Water</v>
      </c>
      <c r="EU4" s="376" t="s">
        <v>52</v>
      </c>
      <c r="EV4" s="645"/>
      <c r="EW4" s="645"/>
      <c r="EX4" s="645"/>
      <c r="EY4" s="645"/>
      <c r="EZ4" s="645"/>
      <c r="FA4" s="645"/>
      <c r="FB4" s="645"/>
    </row>
    <row r="5" spans="1:165" ht="35" customHeight="1" thickTop="1" x14ac:dyDescent="0.3">
      <c r="A5" s="330" t="s">
        <v>1805</v>
      </c>
      <c r="B5" s="318" t="s">
        <v>1377</v>
      </c>
      <c r="C5" s="318" t="s">
        <v>64</v>
      </c>
      <c r="D5" s="318" t="s">
        <v>84</v>
      </c>
      <c r="E5" s="318" t="s">
        <v>8</v>
      </c>
      <c r="F5" s="318" t="s">
        <v>274</v>
      </c>
      <c r="G5" s="318" t="s">
        <v>724</v>
      </c>
      <c r="H5" s="318" t="s">
        <v>966</v>
      </c>
      <c r="I5" s="318" t="s">
        <v>967</v>
      </c>
      <c r="J5" s="318" t="s">
        <v>1045</v>
      </c>
      <c r="K5" s="318" t="s">
        <v>1046</v>
      </c>
      <c r="L5" s="318" t="s">
        <v>1056</v>
      </c>
      <c r="M5" s="314" t="s">
        <v>1059</v>
      </c>
      <c r="N5" s="318" t="s">
        <v>1069</v>
      </c>
      <c r="O5" s="318" t="s">
        <v>1371</v>
      </c>
      <c r="P5" s="318" t="s">
        <v>1077</v>
      </c>
      <c r="Q5" s="318" t="s">
        <v>1082</v>
      </c>
      <c r="R5" s="318" t="s">
        <v>1086</v>
      </c>
      <c r="S5" s="318" t="s">
        <v>1089</v>
      </c>
      <c r="T5" s="318" t="s">
        <v>104</v>
      </c>
      <c r="U5" s="318" t="s">
        <v>104</v>
      </c>
      <c r="V5" s="318" t="s">
        <v>104</v>
      </c>
      <c r="W5" s="318" t="s">
        <v>104</v>
      </c>
      <c r="X5" s="318" t="s">
        <v>104</v>
      </c>
      <c r="Y5" s="318" t="s">
        <v>104</v>
      </c>
      <c r="Z5" s="318" t="s">
        <v>104</v>
      </c>
      <c r="AA5" s="318" t="s">
        <v>104</v>
      </c>
      <c r="AB5" s="318" t="s">
        <v>104</v>
      </c>
      <c r="AC5" s="318" t="s">
        <v>104</v>
      </c>
      <c r="AD5" s="318" t="s">
        <v>1771</v>
      </c>
      <c r="AE5" s="318">
        <v>1380</v>
      </c>
      <c r="AF5" s="318">
        <v>60</v>
      </c>
      <c r="AG5" s="318">
        <v>2012</v>
      </c>
      <c r="AH5" s="318" t="s">
        <v>800</v>
      </c>
      <c r="AI5" s="318">
        <f>AG5</f>
        <v>2012</v>
      </c>
      <c r="AJ5" s="318" t="str">
        <f>AH5</f>
        <v>Estimated</v>
      </c>
      <c r="AK5" s="318"/>
      <c r="AL5" s="318"/>
      <c r="AM5" s="317">
        <f>DC5+EW5</f>
        <v>2514591.4343875227</v>
      </c>
      <c r="AN5" s="318" t="s">
        <v>800</v>
      </c>
      <c r="AO5" s="511">
        <f>EJ5+FA5</f>
        <v>651931.11261898756</v>
      </c>
      <c r="AP5" s="511">
        <f>AM5-AO5</f>
        <v>1862660.3217685353</v>
      </c>
      <c r="AQ5" s="511">
        <f>EU5+FB5</f>
        <v>65193.111261898746</v>
      </c>
      <c r="AR5" s="511">
        <f>AP5-AQ5</f>
        <v>1797467.2105066366</v>
      </c>
      <c r="AS5" s="511">
        <f>HLOOKUP($C$1,'Inflation Adjustments'!$BI$3:$BT$4,2)*CR5</f>
        <v>4635056.671875</v>
      </c>
      <c r="AT5" s="511">
        <f>IF(BU5="In Service",'Maintenace Cost Assumptions'!$B$3*AS5,0)</f>
        <v>23175.283359375</v>
      </c>
      <c r="AU5" s="318">
        <v>4</v>
      </c>
      <c r="AV5" s="318">
        <v>3</v>
      </c>
      <c r="AW5" s="318">
        <v>2</v>
      </c>
      <c r="AX5" s="318">
        <v>3</v>
      </c>
      <c r="AY5" s="318">
        <v>3</v>
      </c>
      <c r="AZ5" s="318">
        <v>3</v>
      </c>
      <c r="BA5" s="318">
        <v>2</v>
      </c>
      <c r="BB5" s="318"/>
      <c r="BC5" s="318"/>
      <c r="BD5" s="318"/>
      <c r="BE5" s="318">
        <v>3</v>
      </c>
      <c r="BF5" s="318"/>
      <c r="BG5" s="332">
        <f>(AU5*'Condition rating weights'!H$8+AV5*'Condition rating weights'!I$8+AW5*'Condition rating weights'!J$8+AX5*'Condition rating weights'!K$8+AY5*'Condition rating weights'!L$8+AZ5*'Condition rating weights'!M$8+BA5*'Condition rating weights'!N$8+BB5*'Condition rating weights'!O$8+BC5*'Condition rating weights'!P$8+BD5*'Condition rating weights'!Q$8+BE5*'Condition rating weights'!R$8+BF5*'Condition rating weights'!S$8)/100</f>
        <v>0.6</v>
      </c>
      <c r="BH5" s="333">
        <v>1</v>
      </c>
      <c r="BI5" s="333">
        <v>211</v>
      </c>
      <c r="BJ5" s="333" t="s">
        <v>12</v>
      </c>
      <c r="BK5" s="333" t="s">
        <v>959</v>
      </c>
      <c r="BL5" s="333" t="s">
        <v>960</v>
      </c>
      <c r="BM5" s="333" t="s">
        <v>961</v>
      </c>
      <c r="BN5" s="333" t="s">
        <v>117</v>
      </c>
      <c r="BO5" s="333" t="s">
        <v>962</v>
      </c>
      <c r="BP5" s="333" t="s">
        <v>962</v>
      </c>
      <c r="BQ5" s="333" t="s">
        <v>963</v>
      </c>
      <c r="BR5" s="333" t="s">
        <v>964</v>
      </c>
      <c r="BS5" s="333" t="s">
        <v>964</v>
      </c>
      <c r="BT5" s="334" t="s">
        <v>965</v>
      </c>
      <c r="BU5" s="335" t="s">
        <v>1430</v>
      </c>
      <c r="BV5" s="346"/>
      <c r="BY5" s="376" t="str">
        <f>'GRC and TUL Assumptions'!A5</f>
        <v>Substructure</v>
      </c>
      <c r="BZ5" s="373">
        <f>'GRC and TUL Assumptions'!C5</f>
        <v>150</v>
      </c>
      <c r="CA5" s="373">
        <f>'GRC and TUL Assumptions'!D5</f>
        <v>200</v>
      </c>
      <c r="CB5" s="373">
        <f>'GRC and TUL Assumptions'!E5</f>
        <v>300</v>
      </c>
      <c r="CC5" s="373">
        <v>0</v>
      </c>
      <c r="CD5" s="373">
        <f>'GRC and TUL Assumptions'!F5</f>
        <v>40</v>
      </c>
      <c r="CE5" s="373">
        <f>'GRC and TUL Assumptions'!G5</f>
        <v>60</v>
      </c>
      <c r="CF5" s="373">
        <f>'GRC and TUL Assumptions'!H5</f>
        <v>60</v>
      </c>
      <c r="CG5" s="373">
        <f>CD5</f>
        <v>40</v>
      </c>
      <c r="CH5" s="378">
        <f>(HLOOKUP(T5,$BZ$4:$CC$14,2,TRUE))*$AE5</f>
        <v>276000</v>
      </c>
      <c r="CI5" s="378">
        <f>(HLOOKUP(U5,$BZ$4:$CC$14,3,TRUE))*$AE5</f>
        <v>1104000</v>
      </c>
      <c r="CJ5" s="378">
        <f>(HLOOKUP(V5,$BZ$4:$CC$14,4,TRUE))*$AE5/BH5</f>
        <v>207000</v>
      </c>
      <c r="CK5" s="378">
        <f>(HLOOKUP(W5,$BZ$4:$CC$14,5,TRUE))*$AE5</f>
        <v>317400</v>
      </c>
      <c r="CL5" s="378">
        <f>(HLOOKUP(X5,$BZ$4:$CC$14,6,TRUE))*$AE5</f>
        <v>483000</v>
      </c>
      <c r="CM5" s="378">
        <f>(HLOOKUP(Y5,$BZ$4:$CC$14,7,TRUE))*$AE5</f>
        <v>207000</v>
      </c>
      <c r="CN5" s="378">
        <f>(HLOOKUP(Z5,$BZ$4:$CC$14,8,FALSE))*$AE5</f>
        <v>138000</v>
      </c>
      <c r="CO5" s="378">
        <f>(HLOOKUP(AA5,$BZ$4:$CC$14,9,FALSE))*$AE5</f>
        <v>138000</v>
      </c>
      <c r="CP5" s="378">
        <f>(HLOOKUP(AB5,$BZ$4:$CC$14,10,FALSE))*$AE5</f>
        <v>179400</v>
      </c>
      <c r="CQ5" s="378">
        <f>(HLOOKUP(AC5,$BZ$4:$CC$14,11,FALSE))*$AE5</f>
        <v>55200</v>
      </c>
      <c r="CR5" s="354">
        <f>SUM(CH5:CQ5)</f>
        <v>3105000</v>
      </c>
      <c r="CS5" s="379">
        <f>(HLOOKUP($AI5,'Inflation Adjustments'!$M$3:$BT$4,2,TRUE))*CH5</f>
        <v>223519.23861222429</v>
      </c>
      <c r="CT5" s="379">
        <f>(HLOOKUP($AI5,'Inflation Adjustments'!$M$3:$BT$4,2,TRUE))*CI5</f>
        <v>894076.95444889716</v>
      </c>
      <c r="CU5" s="379">
        <f>(HLOOKUP($AI5,'Inflation Adjustments'!$M$3:$BT$4,2,TRUE))*CJ5</f>
        <v>167639.42895916823</v>
      </c>
      <c r="CV5" s="379">
        <f>(HLOOKUP($AI5,'Inflation Adjustments'!$M$3:$BT$4,2,TRUE))*CK5</f>
        <v>257047.12440405795</v>
      </c>
      <c r="CW5" s="379">
        <f>(HLOOKUP($AI5,'Inflation Adjustments'!$M$3:$BT$4,2,TRUE))*CL5</f>
        <v>391158.66757139249</v>
      </c>
      <c r="CX5" s="379">
        <f>(HLOOKUP($AI5,'Inflation Adjustments'!$M$3:$BT$4,2,TRUE))*CM5</f>
        <v>167639.42895916823</v>
      </c>
      <c r="CY5" s="379">
        <f>(HLOOKUP($AI5,'Inflation Adjustments'!$M$3:$BT$4,2,TRUE))*CN5</f>
        <v>111759.61930611214</v>
      </c>
      <c r="CZ5" s="379">
        <f>(HLOOKUP($AI5,'Inflation Adjustments'!$M$3:$BT$4,2,TRUE))*CO5</f>
        <v>111759.61930611214</v>
      </c>
      <c r="DA5" s="379">
        <f>(HLOOKUP($AI5,'Inflation Adjustments'!$M$3:$BT$4,2,TRUE))*CP5</f>
        <v>145287.5050979458</v>
      </c>
      <c r="DB5" s="379">
        <f>(HLOOKUP($AI5,'Inflation Adjustments'!$M$3:$BT$4,2,TRUE))*CQ5</f>
        <v>44703.847722444858</v>
      </c>
      <c r="DC5" s="379">
        <f>SUM(CS5:DB5)</f>
        <v>2514591.4343875227</v>
      </c>
      <c r="DD5" s="354">
        <f>IF(($C$1-AI5-1)&lt;0,0,$C$1-AI5-1)</f>
        <v>10</v>
      </c>
      <c r="DE5" s="378">
        <f>(HLOOKUP(T5,$CD$4:$CG$14,2,FALSE))</f>
        <v>60</v>
      </c>
      <c r="DF5" s="378">
        <f>(HLOOKUP(U5,$CD$4:$CG$14,3,FALSE))</f>
        <v>60</v>
      </c>
      <c r="DG5" s="378">
        <f>(HLOOKUP(V5,$CD$4:$CG$14,4,FALSE))</f>
        <v>20</v>
      </c>
      <c r="DH5" s="378">
        <f>(HLOOKUP(W5,$CD$4:$CG$14,5,FALSE))</f>
        <v>30</v>
      </c>
      <c r="DI5" s="378">
        <f>(HLOOKUP(X5,$CD$4:$CG$14,6,FALSE))</f>
        <v>60</v>
      </c>
      <c r="DJ5" s="378">
        <f>(HLOOKUP(Y5,$CD$4:$CG$14,7,FALSE))</f>
        <v>30</v>
      </c>
      <c r="DK5" s="378">
        <f>(HLOOKUP(Z5,$CD$4:$CG$14,8,FALSE))</f>
        <v>20</v>
      </c>
      <c r="DL5" s="378">
        <f>(HLOOKUP(AA5,$CD$4:$CG$14,8,FALSE))</f>
        <v>20</v>
      </c>
      <c r="DM5" s="378">
        <f>(HLOOKUP(AB5,$CD$4:$CG$14,9))</f>
        <v>30</v>
      </c>
      <c r="DN5" s="378">
        <f>(HLOOKUP(AC5,$CD$4:$CG$14,10))</f>
        <v>30</v>
      </c>
      <c r="DO5" s="380">
        <f t="shared" ref="DO5:DX6" si="5">CS5/DE5</f>
        <v>3725.3206435370716</v>
      </c>
      <c r="DP5" s="380">
        <f t="shared" si="5"/>
        <v>14901.282574148287</v>
      </c>
      <c r="DQ5" s="380">
        <f t="shared" si="5"/>
        <v>8381.9714479584109</v>
      </c>
      <c r="DR5" s="380">
        <f t="shared" si="5"/>
        <v>8568.2374801352653</v>
      </c>
      <c r="DS5" s="380">
        <f t="shared" si="5"/>
        <v>6519.3111261898748</v>
      </c>
      <c r="DT5" s="380">
        <f t="shared" si="5"/>
        <v>5587.9809653056082</v>
      </c>
      <c r="DU5" s="380">
        <f t="shared" si="5"/>
        <v>5587.9809653056072</v>
      </c>
      <c r="DV5" s="380">
        <f t="shared" si="5"/>
        <v>5587.9809653056072</v>
      </c>
      <c r="DW5" s="380">
        <f t="shared" si="5"/>
        <v>4842.9168365981932</v>
      </c>
      <c r="DX5" s="380">
        <f t="shared" si="5"/>
        <v>1490.1282574148286</v>
      </c>
      <c r="DY5" s="380">
        <f>SUM(DO5:DX5)</f>
        <v>65193.111261898746</v>
      </c>
      <c r="DZ5" s="378">
        <f t="shared" ref="DZ5:EI6" si="6">IF(DO5*$DD5&gt;CS5,CS5,DO5*$DD5)</f>
        <v>37253.206435370717</v>
      </c>
      <c r="EA5" s="378">
        <f t="shared" si="6"/>
        <v>149012.82574148287</v>
      </c>
      <c r="EB5" s="378">
        <f t="shared" si="6"/>
        <v>83819.714479584101</v>
      </c>
      <c r="EC5" s="378">
        <f t="shared" si="6"/>
        <v>85682.374801352649</v>
      </c>
      <c r="ED5" s="378">
        <f t="shared" si="6"/>
        <v>65193.111261898746</v>
      </c>
      <c r="EE5" s="378">
        <f t="shared" si="6"/>
        <v>55879.80965305608</v>
      </c>
      <c r="EF5" s="378">
        <f t="shared" si="6"/>
        <v>55879.809653056072</v>
      </c>
      <c r="EG5" s="378">
        <f t="shared" si="6"/>
        <v>55879.809653056072</v>
      </c>
      <c r="EH5" s="378">
        <f t="shared" si="6"/>
        <v>48429.168365981932</v>
      </c>
      <c r="EI5" s="378">
        <f t="shared" si="6"/>
        <v>14901.282574148285</v>
      </c>
      <c r="EJ5" s="354">
        <f>SUM(DZ5:EI5)</f>
        <v>651931.11261898756</v>
      </c>
      <c r="EK5" s="380">
        <f t="shared" ref="EK5:ET6" si="7">IF(DO5&lt;(CS5-DZ5),DO5,(CS5-DZ5))</f>
        <v>3725.3206435370716</v>
      </c>
      <c r="EL5" s="380">
        <f t="shared" si="7"/>
        <v>14901.282574148287</v>
      </c>
      <c r="EM5" s="380">
        <f t="shared" si="7"/>
        <v>8381.9714479584109</v>
      </c>
      <c r="EN5" s="380">
        <f t="shared" si="7"/>
        <v>8568.2374801352653</v>
      </c>
      <c r="EO5" s="380">
        <f t="shared" si="7"/>
        <v>6519.3111261898748</v>
      </c>
      <c r="EP5" s="380">
        <f t="shared" si="7"/>
        <v>5587.9809653056082</v>
      </c>
      <c r="EQ5" s="380">
        <f t="shared" si="7"/>
        <v>5587.9809653056072</v>
      </c>
      <c r="ER5" s="380">
        <f t="shared" si="7"/>
        <v>5587.9809653056072</v>
      </c>
      <c r="ES5" s="380">
        <f t="shared" si="7"/>
        <v>4842.9168365981932</v>
      </c>
      <c r="ET5" s="380">
        <f t="shared" si="7"/>
        <v>1490.1282574148286</v>
      </c>
      <c r="EU5" s="379">
        <f>SUM(EK5:ET5)</f>
        <v>65193.111261898746</v>
      </c>
      <c r="EV5" s="381"/>
      <c r="EW5" s="382"/>
      <c r="EX5" s="382"/>
      <c r="EY5" s="382"/>
      <c r="EZ5" s="382"/>
      <c r="FA5" s="382"/>
      <c r="FB5" s="382"/>
      <c r="FE5" s="583" t="s">
        <v>1664</v>
      </c>
      <c r="FF5" s="583"/>
      <c r="FG5" s="583"/>
      <c r="FH5" s="583"/>
      <c r="FI5" s="583"/>
    </row>
    <row r="6" spans="1:165" ht="35" customHeight="1" x14ac:dyDescent="0.3">
      <c r="A6" s="330"/>
      <c r="B6" s="318"/>
      <c r="C6" s="318"/>
      <c r="D6" s="318"/>
      <c r="E6" s="318"/>
      <c r="F6" s="318"/>
      <c r="G6" s="318"/>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7"/>
      <c r="AN6" s="318"/>
      <c r="AO6" s="511" t="e">
        <f t="shared" ref="AO6:AO10" si="8">EJ6+FA6</f>
        <v>#N/A</v>
      </c>
      <c r="AP6" s="511" t="e">
        <f t="shared" ref="AP6:AP10" si="9">AM6-AO6</f>
        <v>#N/A</v>
      </c>
      <c r="AQ6" s="511" t="e">
        <f t="shared" ref="AQ6:AQ10" si="10">EU6+FB6</f>
        <v>#N/A</v>
      </c>
      <c r="AR6" s="511" t="e">
        <f t="shared" ref="AR6:AR10" si="11">AP6-AQ6</f>
        <v>#N/A</v>
      </c>
      <c r="AS6" s="511" t="e">
        <f>HLOOKUP($C$1,'Inflation Adjustments'!$BI$3:$BT$4,2)*CR6</f>
        <v>#N/A</v>
      </c>
      <c r="AT6" s="511">
        <f>IF(BU6="In Service",'Maintenace Cost Assumptions'!$B$3*AS6,0)</f>
        <v>0</v>
      </c>
      <c r="AU6" s="318"/>
      <c r="AV6" s="318"/>
      <c r="AW6" s="318"/>
      <c r="AX6" s="318"/>
      <c r="AY6" s="318"/>
      <c r="AZ6" s="318"/>
      <c r="BA6" s="318"/>
      <c r="BB6" s="318"/>
      <c r="BC6" s="318"/>
      <c r="BD6" s="318"/>
      <c r="BE6" s="318"/>
      <c r="BF6" s="318"/>
      <c r="BG6" s="332">
        <f>(AU6*'Condition rating weights'!H$8+AV6*'Condition rating weights'!I$8+AW6*'Condition rating weights'!J$8+AX6*'Condition rating weights'!K$8+AY6*'Condition rating weights'!L$8+AZ6*'Condition rating weights'!M$8+BA6*'Condition rating weights'!N$8+BB6*'Condition rating weights'!O$8+BC6*'Condition rating weights'!P$8+BD6*'Condition rating weights'!Q$8+BE6*'Condition rating weights'!R$8+BF6*'Condition rating weights'!S$8)/100</f>
        <v>0</v>
      </c>
      <c r="BH6" s="333"/>
      <c r="BI6" s="333"/>
      <c r="BJ6" s="333"/>
      <c r="BK6" s="333"/>
      <c r="BL6" s="333"/>
      <c r="BM6" s="333"/>
      <c r="BN6" s="333"/>
      <c r="BO6" s="333"/>
      <c r="BP6" s="333"/>
      <c r="BQ6" s="333"/>
      <c r="BR6" s="333"/>
      <c r="BS6" s="333"/>
      <c r="BT6" s="334"/>
      <c r="BU6" s="335"/>
      <c r="BV6" s="346"/>
      <c r="BY6" s="376" t="str">
        <f>'GRC and TUL Assumptions'!A6</f>
        <v>Structure</v>
      </c>
      <c r="BZ6" s="373">
        <f>'GRC and TUL Assumptions'!C6</f>
        <v>500</v>
      </c>
      <c r="CA6" s="373">
        <f>'GRC and TUL Assumptions'!D6</f>
        <v>800</v>
      </c>
      <c r="CB6" s="373">
        <f>'GRC and TUL Assumptions'!E6</f>
        <v>1500</v>
      </c>
      <c r="CC6" s="373">
        <v>0</v>
      </c>
      <c r="CD6" s="373">
        <f>'GRC and TUL Assumptions'!F6</f>
        <v>40</v>
      </c>
      <c r="CE6" s="373">
        <f>'GRC and TUL Assumptions'!G6</f>
        <v>60</v>
      </c>
      <c r="CF6" s="373">
        <f>'GRC and TUL Assumptions'!H6</f>
        <v>60</v>
      </c>
      <c r="CG6" s="373">
        <f t="shared" ref="CG6:CG14" si="12">CD6</f>
        <v>40</v>
      </c>
      <c r="CH6" s="378" t="e">
        <f>(HLOOKUP(T6,$BZ$4:$CC$14,2,TRUE))*$AE6</f>
        <v>#N/A</v>
      </c>
      <c r="CI6" s="378" t="e">
        <f>(HLOOKUP(U6,$BZ$4:$CC$14,3,TRUE))*$AE6</f>
        <v>#N/A</v>
      </c>
      <c r="CJ6" s="378" t="e">
        <f>(HLOOKUP(V6,$BZ$4:$CC$14,4,TRUE))*$AE6/BH6</f>
        <v>#N/A</v>
      </c>
      <c r="CK6" s="378" t="e">
        <f>(HLOOKUP(W6,$BZ$4:$CC$14,5,TRUE))*$AE6</f>
        <v>#N/A</v>
      </c>
      <c r="CL6" s="378" t="e">
        <f>(HLOOKUP(X6,$BZ$4:$CC$14,6,TRUE))*$AE6</f>
        <v>#N/A</v>
      </c>
      <c r="CM6" s="378" t="e">
        <f>(HLOOKUP(Y6,$BZ$4:$CC$14,7,TRUE))*$AE6</f>
        <v>#N/A</v>
      </c>
      <c r="CN6" s="378" t="e">
        <f>(HLOOKUP(Z6,$BZ$4:$CC$14,8,FALSE))*$AE6</f>
        <v>#N/A</v>
      </c>
      <c r="CO6" s="378" t="e">
        <f>(HLOOKUP(AA6,$BZ$4:$CC$14,9,FALSE))*$AE6</f>
        <v>#N/A</v>
      </c>
      <c r="CP6" s="378" t="e">
        <f>(HLOOKUP(AB6,$BZ$4:$CC$14,10,FALSE))*$AE6</f>
        <v>#N/A</v>
      </c>
      <c r="CQ6" s="378" t="e">
        <f>(HLOOKUP(AC6,$BZ$4:$CC$14,11,FALSE))*$AE6</f>
        <v>#N/A</v>
      </c>
      <c r="CR6" s="354" t="e">
        <f>SUM(CH6:CQ6)</f>
        <v>#N/A</v>
      </c>
      <c r="CS6" s="379" t="e">
        <f>(HLOOKUP($AI6,'Inflation Adjustments'!$M$3:$BT$4,2,TRUE))*CH6</f>
        <v>#N/A</v>
      </c>
      <c r="CT6" s="379" t="e">
        <f>(HLOOKUP($AI6,'Inflation Adjustments'!$M$3:$BT$4,2,TRUE))*CI6</f>
        <v>#N/A</v>
      </c>
      <c r="CU6" s="379" t="e">
        <f>(HLOOKUP($AI6,'Inflation Adjustments'!$M$3:$BT$4,2,TRUE))*CJ6</f>
        <v>#N/A</v>
      </c>
      <c r="CV6" s="379" t="e">
        <f>(HLOOKUP($AI6,'Inflation Adjustments'!$M$3:$BT$4,2,TRUE))*CK6</f>
        <v>#N/A</v>
      </c>
      <c r="CW6" s="379" t="e">
        <f>(HLOOKUP($AI6,'Inflation Adjustments'!$M$3:$BT$4,2,TRUE))*CL6</f>
        <v>#N/A</v>
      </c>
      <c r="CX6" s="379" t="e">
        <f>(HLOOKUP($AI6,'Inflation Adjustments'!$M$3:$BT$4,2,TRUE))*CM6</f>
        <v>#N/A</v>
      </c>
      <c r="CY6" s="379" t="e">
        <f>(HLOOKUP($AI6,'Inflation Adjustments'!$M$3:$BT$4,2,TRUE))*CN6</f>
        <v>#N/A</v>
      </c>
      <c r="CZ6" s="379" t="e">
        <f>(HLOOKUP($AI6,'Inflation Adjustments'!$M$3:$BT$4,2,TRUE))*CO6</f>
        <v>#N/A</v>
      </c>
      <c r="DA6" s="379" t="e">
        <f>(HLOOKUP($AI6,'Inflation Adjustments'!$M$3:$BT$4,2,TRUE))*CP6</f>
        <v>#N/A</v>
      </c>
      <c r="DB6" s="379" t="e">
        <f>(HLOOKUP($AI6,'Inflation Adjustments'!$M$3:$BT$4,2,TRUE))*CQ6</f>
        <v>#N/A</v>
      </c>
      <c r="DC6" s="379" t="e">
        <f>SUM(CS6:DB6)</f>
        <v>#N/A</v>
      </c>
      <c r="DD6" s="354">
        <f>IF(($C$1-AI6-1)&lt;0,0,$C$1-AI6-1)</f>
        <v>2022</v>
      </c>
      <c r="DE6" s="378" t="e">
        <f>(HLOOKUP(T6,$CD$4:$CG$14,2,FALSE))</f>
        <v>#N/A</v>
      </c>
      <c r="DF6" s="378" t="e">
        <f>(HLOOKUP(U6,$CD$4:$CG$14,3,FALSE))</f>
        <v>#N/A</v>
      </c>
      <c r="DG6" s="378" t="e">
        <f>(HLOOKUP(V6,$CD$4:$CG$14,4,FALSE))</f>
        <v>#N/A</v>
      </c>
      <c r="DH6" s="378" t="e">
        <f>(HLOOKUP(W6,$CD$4:$CG$14,5,FALSE))</f>
        <v>#N/A</v>
      </c>
      <c r="DI6" s="378" t="e">
        <f>(HLOOKUP(X6,$CD$4:$CG$14,6,FALSE))</f>
        <v>#N/A</v>
      </c>
      <c r="DJ6" s="378" t="e">
        <f>(HLOOKUP(Y6,$CD$4:$CG$14,7,FALSE))</f>
        <v>#N/A</v>
      </c>
      <c r="DK6" s="378" t="e">
        <f>(HLOOKUP(Z6,$CD$4:$CG$14,8,FALSE))</f>
        <v>#N/A</v>
      </c>
      <c r="DL6" s="378" t="e">
        <f>(HLOOKUP(AA6,$CD$4:$CG$14,8,FALSE))</f>
        <v>#N/A</v>
      </c>
      <c r="DM6" s="378" t="e">
        <f>(HLOOKUP(AB6,$CD$4:$CG$14,9))</f>
        <v>#N/A</v>
      </c>
      <c r="DN6" s="378" t="e">
        <f>(HLOOKUP(AC6,$CD$4:$CG$14,10))</f>
        <v>#N/A</v>
      </c>
      <c r="DO6" s="380" t="e">
        <f t="shared" si="5"/>
        <v>#N/A</v>
      </c>
      <c r="DP6" s="380" t="e">
        <f t="shared" si="5"/>
        <v>#N/A</v>
      </c>
      <c r="DQ6" s="380" t="e">
        <f t="shared" si="5"/>
        <v>#N/A</v>
      </c>
      <c r="DR6" s="380" t="e">
        <f t="shared" si="5"/>
        <v>#N/A</v>
      </c>
      <c r="DS6" s="380" t="e">
        <f t="shared" si="5"/>
        <v>#N/A</v>
      </c>
      <c r="DT6" s="380" t="e">
        <f t="shared" si="5"/>
        <v>#N/A</v>
      </c>
      <c r="DU6" s="380" t="e">
        <f t="shared" si="5"/>
        <v>#N/A</v>
      </c>
      <c r="DV6" s="380" t="e">
        <f t="shared" si="5"/>
        <v>#N/A</v>
      </c>
      <c r="DW6" s="380" t="e">
        <f t="shared" si="5"/>
        <v>#N/A</v>
      </c>
      <c r="DX6" s="380" t="e">
        <f t="shared" si="5"/>
        <v>#N/A</v>
      </c>
      <c r="DY6" s="380" t="e">
        <f>SUM(DO6:DX6)</f>
        <v>#N/A</v>
      </c>
      <c r="DZ6" s="378" t="e">
        <f t="shared" si="6"/>
        <v>#N/A</v>
      </c>
      <c r="EA6" s="378" t="e">
        <f t="shared" si="6"/>
        <v>#N/A</v>
      </c>
      <c r="EB6" s="378" t="e">
        <f t="shared" si="6"/>
        <v>#N/A</v>
      </c>
      <c r="EC6" s="378" t="e">
        <f t="shared" si="6"/>
        <v>#N/A</v>
      </c>
      <c r="ED6" s="378" t="e">
        <f t="shared" si="6"/>
        <v>#N/A</v>
      </c>
      <c r="EE6" s="378" t="e">
        <f t="shared" si="6"/>
        <v>#N/A</v>
      </c>
      <c r="EF6" s="378" t="e">
        <f t="shared" si="6"/>
        <v>#N/A</v>
      </c>
      <c r="EG6" s="378" t="e">
        <f t="shared" si="6"/>
        <v>#N/A</v>
      </c>
      <c r="EH6" s="378" t="e">
        <f t="shared" si="6"/>
        <v>#N/A</v>
      </c>
      <c r="EI6" s="378" t="e">
        <f t="shared" si="6"/>
        <v>#N/A</v>
      </c>
      <c r="EJ6" s="354" t="e">
        <f>SUM(DZ6:EI6)</f>
        <v>#N/A</v>
      </c>
      <c r="EK6" s="380" t="e">
        <f t="shared" si="7"/>
        <v>#N/A</v>
      </c>
      <c r="EL6" s="380" t="e">
        <f t="shared" si="7"/>
        <v>#N/A</v>
      </c>
      <c r="EM6" s="380" t="e">
        <f t="shared" si="7"/>
        <v>#N/A</v>
      </c>
      <c r="EN6" s="380" t="e">
        <f t="shared" si="7"/>
        <v>#N/A</v>
      </c>
      <c r="EO6" s="380" t="e">
        <f t="shared" si="7"/>
        <v>#N/A</v>
      </c>
      <c r="EP6" s="380" t="e">
        <f t="shared" si="7"/>
        <v>#N/A</v>
      </c>
      <c r="EQ6" s="380" t="e">
        <f t="shared" si="7"/>
        <v>#N/A</v>
      </c>
      <c r="ER6" s="380" t="e">
        <f t="shared" si="7"/>
        <v>#N/A</v>
      </c>
      <c r="ES6" s="380" t="e">
        <f t="shared" si="7"/>
        <v>#N/A</v>
      </c>
      <c r="ET6" s="380" t="e">
        <f t="shared" si="7"/>
        <v>#N/A</v>
      </c>
      <c r="EU6" s="379" t="e">
        <f>SUM(EK6:ET6)</f>
        <v>#N/A</v>
      </c>
      <c r="EV6" s="381"/>
      <c r="EW6" s="382"/>
      <c r="EX6" s="382"/>
      <c r="EY6" s="382"/>
      <c r="EZ6" s="382"/>
      <c r="FA6" s="382"/>
      <c r="FB6" s="382"/>
      <c r="FE6" s="583" t="s">
        <v>1653</v>
      </c>
      <c r="FF6" s="583"/>
      <c r="FG6" s="583"/>
      <c r="FH6" s="583"/>
      <c r="FI6" s="583"/>
    </row>
    <row r="7" spans="1:165" ht="35" customHeight="1" x14ac:dyDescent="0.3">
      <c r="A7" s="330"/>
      <c r="B7" s="318"/>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7"/>
      <c r="AN7" s="318"/>
      <c r="AO7" s="511">
        <f t="shared" si="8"/>
        <v>0</v>
      </c>
      <c r="AP7" s="511">
        <f t="shared" si="9"/>
        <v>0</v>
      </c>
      <c r="AQ7" s="511">
        <f t="shared" si="10"/>
        <v>0</v>
      </c>
      <c r="AR7" s="511">
        <f t="shared" si="11"/>
        <v>0</v>
      </c>
      <c r="AS7" s="511">
        <f>HLOOKUP($C$1,'Inflation Adjustments'!$BI$3:$BT$4,2)*CR7</f>
        <v>0</v>
      </c>
      <c r="AT7" s="511">
        <f>IF(BU7="In Service",'Maintenace Cost Assumptions'!$B$3*AS7,0)</f>
        <v>0</v>
      </c>
      <c r="AU7" s="318"/>
      <c r="AV7" s="318"/>
      <c r="AW7" s="318"/>
      <c r="AX7" s="318"/>
      <c r="AY7" s="318"/>
      <c r="AZ7" s="318"/>
      <c r="BA7" s="318"/>
      <c r="BB7" s="318"/>
      <c r="BC7" s="318"/>
      <c r="BD7" s="318"/>
      <c r="BE7" s="318"/>
      <c r="BF7" s="318"/>
      <c r="BG7" s="332">
        <f>(AU7*'Condition rating weights'!H$8+AV7*'Condition rating weights'!I$8+AW7*'Condition rating weights'!J$8+AX7*'Condition rating weights'!K$8+AY7*'Condition rating weights'!L$8+AZ7*'Condition rating weights'!M$8+BA7*'Condition rating weights'!N$8+BB7*'Condition rating weights'!O$8+BC7*'Condition rating weights'!P$8+BD7*'Condition rating weights'!Q$8+BE7*'Condition rating weights'!R$8+BF7*'Condition rating weights'!S$8)/100</f>
        <v>0</v>
      </c>
      <c r="BH7" s="333"/>
      <c r="BI7" s="333"/>
      <c r="BJ7" s="333"/>
      <c r="BK7" s="333"/>
      <c r="BL7" s="333"/>
      <c r="BM7" s="333"/>
      <c r="BN7" s="333"/>
      <c r="BO7" s="333"/>
      <c r="BP7" s="333"/>
      <c r="BQ7" s="333"/>
      <c r="BR7" s="333"/>
      <c r="BS7" s="333"/>
      <c r="BT7" s="334"/>
      <c r="BU7" s="335"/>
      <c r="BV7" s="255"/>
      <c r="BY7" s="376" t="str">
        <f>'GRC and TUL Assumptions'!A7</f>
        <v>Roofing</v>
      </c>
      <c r="BZ7" s="373">
        <f>'GRC and TUL Assumptions'!C7</f>
        <v>100</v>
      </c>
      <c r="CA7" s="373">
        <f>'GRC and TUL Assumptions'!D7</f>
        <v>150</v>
      </c>
      <c r="CB7" s="373">
        <f>'GRC and TUL Assumptions'!E7</f>
        <v>300</v>
      </c>
      <c r="CC7" s="373">
        <v>0</v>
      </c>
      <c r="CD7" s="373">
        <f>'GRC and TUL Assumptions'!F7</f>
        <v>10</v>
      </c>
      <c r="CE7" s="373">
        <f>'GRC and TUL Assumptions'!G7</f>
        <v>20</v>
      </c>
      <c r="CF7" s="373">
        <f>'GRC and TUL Assumptions'!H7</f>
        <v>30</v>
      </c>
      <c r="CG7" s="373">
        <f t="shared" si="12"/>
        <v>10</v>
      </c>
      <c r="CH7" s="378"/>
      <c r="CI7" s="378"/>
      <c r="CJ7" s="378"/>
      <c r="CK7" s="378"/>
      <c r="CL7" s="378"/>
      <c r="CM7" s="378"/>
      <c r="CN7" s="378"/>
      <c r="CO7" s="378"/>
      <c r="CP7" s="378"/>
      <c r="CQ7" s="378"/>
      <c r="CR7" s="354"/>
      <c r="CS7" s="379"/>
      <c r="CT7" s="379"/>
      <c r="CU7" s="379"/>
      <c r="CV7" s="379"/>
      <c r="CW7" s="379"/>
      <c r="CX7" s="379"/>
      <c r="CY7" s="379"/>
      <c r="CZ7" s="379"/>
      <c r="DA7" s="379"/>
      <c r="DB7" s="379"/>
      <c r="DC7" s="379"/>
      <c r="DD7" s="354"/>
      <c r="DE7" s="378"/>
      <c r="DF7" s="378"/>
      <c r="DG7" s="378"/>
      <c r="DH7" s="378"/>
      <c r="DI7" s="378"/>
      <c r="DJ7" s="378"/>
      <c r="DK7" s="378"/>
      <c r="DL7" s="378"/>
      <c r="DM7" s="378"/>
      <c r="DN7" s="378"/>
      <c r="DO7" s="380"/>
      <c r="DP7" s="380"/>
      <c r="DQ7" s="380"/>
      <c r="DR7" s="380"/>
      <c r="DS7" s="380"/>
      <c r="DT7" s="380"/>
      <c r="DU7" s="380"/>
      <c r="DV7" s="380"/>
      <c r="DW7" s="380"/>
      <c r="DX7" s="380"/>
      <c r="DY7" s="380"/>
      <c r="DZ7" s="378"/>
      <c r="EA7" s="378"/>
      <c r="EB7" s="378"/>
      <c r="EC7" s="378"/>
      <c r="ED7" s="378"/>
      <c r="EE7" s="378"/>
      <c r="EF7" s="378"/>
      <c r="EG7" s="378"/>
      <c r="EH7" s="378"/>
      <c r="EI7" s="378"/>
      <c r="EJ7" s="354"/>
      <c r="EK7" s="380"/>
      <c r="EL7" s="380"/>
      <c r="EM7" s="380"/>
      <c r="EN7" s="380"/>
      <c r="EO7" s="380"/>
      <c r="EP7" s="380"/>
      <c r="EQ7" s="380"/>
      <c r="ER7" s="380"/>
      <c r="ES7" s="380"/>
      <c r="ET7" s="380"/>
      <c r="EU7" s="379"/>
      <c r="EV7" s="381"/>
      <c r="EW7" s="354"/>
      <c r="EX7" s="378"/>
      <c r="EY7" s="381"/>
      <c r="EZ7" s="378"/>
      <c r="FA7" s="378"/>
      <c r="FB7" s="378"/>
      <c r="FE7" s="91" t="s">
        <v>1657</v>
      </c>
    </row>
    <row r="8" spans="1:165" ht="35" customHeight="1" x14ac:dyDescent="0.3">
      <c r="A8" s="330"/>
      <c r="B8" s="318"/>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317"/>
      <c r="AN8" s="318"/>
      <c r="AO8" s="511">
        <f t="shared" si="8"/>
        <v>0</v>
      </c>
      <c r="AP8" s="511">
        <f t="shared" si="9"/>
        <v>0</v>
      </c>
      <c r="AQ8" s="511">
        <f t="shared" si="10"/>
        <v>0</v>
      </c>
      <c r="AR8" s="511">
        <f t="shared" si="11"/>
        <v>0</v>
      </c>
      <c r="AS8" s="511">
        <f>HLOOKUP($C$1,'Inflation Adjustments'!$BI$3:$BT$4,2)*CR8</f>
        <v>0</v>
      </c>
      <c r="AT8" s="511">
        <f>IF(BU8="In Service",'Maintenace Cost Assumptions'!$B$3*AS8,0)</f>
        <v>0</v>
      </c>
      <c r="AU8" s="318"/>
      <c r="AV8" s="318"/>
      <c r="AW8" s="318"/>
      <c r="AX8" s="318"/>
      <c r="AY8" s="318"/>
      <c r="AZ8" s="318"/>
      <c r="BA8" s="318"/>
      <c r="BB8" s="318"/>
      <c r="BC8" s="318"/>
      <c r="BD8" s="318"/>
      <c r="BE8" s="318"/>
      <c r="BF8" s="318"/>
      <c r="BG8" s="332">
        <f>(AU8*'Condition rating weights'!H$8+AV8*'Condition rating weights'!I$8+AW8*'Condition rating weights'!J$8+AX8*'Condition rating weights'!K$8+AY8*'Condition rating weights'!L$8+AZ8*'Condition rating weights'!M$8+BA8*'Condition rating weights'!N$8+BB8*'Condition rating weights'!O$8+BC8*'Condition rating weights'!P$8+BD8*'Condition rating weights'!Q$8+BE8*'Condition rating weights'!R$8+BF8*'Condition rating weights'!S$8)/100</f>
        <v>0</v>
      </c>
      <c r="BH8" s="333"/>
      <c r="BI8" s="333"/>
      <c r="BJ8" s="333"/>
      <c r="BK8" s="333"/>
      <c r="BL8" s="333"/>
      <c r="BM8" s="333"/>
      <c r="BN8" s="333"/>
      <c r="BO8" s="333"/>
      <c r="BP8" s="333"/>
      <c r="BQ8" s="333"/>
      <c r="BR8" s="333"/>
      <c r="BS8" s="333"/>
      <c r="BT8" s="334"/>
      <c r="BU8" s="335"/>
      <c r="BV8" s="255"/>
      <c r="BY8" s="376" t="str">
        <f>'GRC and TUL Assumptions'!A8</f>
        <v>Exterior Wall Cladding</v>
      </c>
      <c r="BZ8" s="373">
        <f>'GRC and TUL Assumptions'!C8</f>
        <v>150</v>
      </c>
      <c r="CA8" s="373">
        <f>'GRC and TUL Assumptions'!D8</f>
        <v>230</v>
      </c>
      <c r="CB8" s="373">
        <f>'GRC and TUL Assumptions'!E8</f>
        <v>300</v>
      </c>
      <c r="CC8" s="373">
        <v>0</v>
      </c>
      <c r="CD8" s="373">
        <f>'GRC and TUL Assumptions'!F8</f>
        <v>20</v>
      </c>
      <c r="CE8" s="373">
        <f>'GRC and TUL Assumptions'!G8</f>
        <v>30</v>
      </c>
      <c r="CF8" s="373">
        <f>'GRC and TUL Assumptions'!H8</f>
        <v>40</v>
      </c>
      <c r="CG8" s="373">
        <f t="shared" si="12"/>
        <v>20</v>
      </c>
      <c r="CH8" s="378"/>
      <c r="CI8" s="378"/>
      <c r="CJ8" s="378"/>
      <c r="CK8" s="378"/>
      <c r="CL8" s="378"/>
      <c r="CM8" s="378"/>
      <c r="CN8" s="378"/>
      <c r="CO8" s="378"/>
      <c r="CP8" s="378"/>
      <c r="CQ8" s="378"/>
      <c r="CR8" s="354"/>
      <c r="CS8" s="379"/>
      <c r="CT8" s="379"/>
      <c r="CU8" s="379"/>
      <c r="CV8" s="379"/>
      <c r="CW8" s="379"/>
      <c r="CX8" s="379"/>
      <c r="CY8" s="379"/>
      <c r="CZ8" s="379"/>
      <c r="DA8" s="379"/>
      <c r="DB8" s="379"/>
      <c r="DC8" s="379"/>
      <c r="DD8" s="354"/>
      <c r="DE8" s="378"/>
      <c r="DF8" s="378"/>
      <c r="DG8" s="378"/>
      <c r="DH8" s="378"/>
      <c r="DI8" s="378"/>
      <c r="DJ8" s="378"/>
      <c r="DK8" s="378"/>
      <c r="DL8" s="378"/>
      <c r="DM8" s="378"/>
      <c r="DN8" s="378"/>
      <c r="DO8" s="380"/>
      <c r="DP8" s="380"/>
      <c r="DQ8" s="380"/>
      <c r="DR8" s="380"/>
      <c r="DS8" s="380"/>
      <c r="DT8" s="380"/>
      <c r="DU8" s="380"/>
      <c r="DV8" s="380"/>
      <c r="DW8" s="380"/>
      <c r="DX8" s="380"/>
      <c r="DY8" s="380"/>
      <c r="DZ8" s="378"/>
      <c r="EA8" s="378"/>
      <c r="EB8" s="378"/>
      <c r="EC8" s="378"/>
      <c r="ED8" s="378"/>
      <c r="EE8" s="378"/>
      <c r="EF8" s="378"/>
      <c r="EG8" s="378"/>
      <c r="EH8" s="378"/>
      <c r="EI8" s="378"/>
      <c r="EJ8" s="354"/>
      <c r="EK8" s="380"/>
      <c r="EL8" s="380"/>
      <c r="EM8" s="380"/>
      <c r="EN8" s="380"/>
      <c r="EO8" s="380"/>
      <c r="EP8" s="380"/>
      <c r="EQ8" s="380"/>
      <c r="ER8" s="380"/>
      <c r="ES8" s="380"/>
      <c r="ET8" s="380"/>
      <c r="EU8" s="379"/>
      <c r="EV8" s="381"/>
      <c r="EW8" s="382"/>
      <c r="EX8" s="382"/>
      <c r="EY8" s="382"/>
      <c r="EZ8" s="382"/>
      <c r="FA8" s="382"/>
      <c r="FB8" s="382"/>
      <c r="FE8" s="91" t="s">
        <v>1657</v>
      </c>
    </row>
    <row r="9" spans="1:165" ht="35" customHeight="1" x14ac:dyDescent="0.3">
      <c r="A9" s="330"/>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7"/>
      <c r="AN9" s="318"/>
      <c r="AO9" s="511">
        <f t="shared" si="8"/>
        <v>0</v>
      </c>
      <c r="AP9" s="511">
        <f t="shared" si="9"/>
        <v>0</v>
      </c>
      <c r="AQ9" s="511">
        <f t="shared" si="10"/>
        <v>0</v>
      </c>
      <c r="AR9" s="511">
        <f t="shared" si="11"/>
        <v>0</v>
      </c>
      <c r="AS9" s="511">
        <f>HLOOKUP($C$1,'Inflation Adjustments'!$BI$3:$BT$4,2)*CR9</f>
        <v>0</v>
      </c>
      <c r="AT9" s="511">
        <f>IF(BU9="In Service",'Maintenace Cost Assumptions'!$B$3*AS9,0)</f>
        <v>0</v>
      </c>
      <c r="AU9" s="318"/>
      <c r="AV9" s="318"/>
      <c r="AW9" s="318"/>
      <c r="AX9" s="318"/>
      <c r="AY9" s="318"/>
      <c r="AZ9" s="318"/>
      <c r="BA9" s="318"/>
      <c r="BB9" s="318"/>
      <c r="BC9" s="318"/>
      <c r="BD9" s="318"/>
      <c r="BE9" s="318"/>
      <c r="BF9" s="318"/>
      <c r="BG9" s="332">
        <f>(AU9*'Condition rating weights'!H$8+AV9*'Condition rating weights'!I$8+AW9*'Condition rating weights'!J$8+AX9*'Condition rating weights'!K$8+AY9*'Condition rating weights'!L$8+AZ9*'Condition rating weights'!M$8+BA9*'Condition rating weights'!N$8+BB9*'Condition rating weights'!O$8+BC9*'Condition rating weights'!P$8+BD9*'Condition rating weights'!Q$8+BE9*'Condition rating weights'!R$8+BF9*'Condition rating weights'!S$8)/100</f>
        <v>0</v>
      </c>
      <c r="BH9" s="333"/>
      <c r="BI9" s="333"/>
      <c r="BJ9" s="333"/>
      <c r="BK9" s="333"/>
      <c r="BL9" s="333"/>
      <c r="BM9" s="333"/>
      <c r="BN9" s="333"/>
      <c r="BO9" s="333"/>
      <c r="BP9" s="333"/>
      <c r="BQ9" s="333"/>
      <c r="BR9" s="333"/>
      <c r="BS9" s="333"/>
      <c r="BT9" s="334"/>
      <c r="BU9" s="335"/>
      <c r="BV9" s="346"/>
      <c r="BY9" s="376" t="s">
        <v>165</v>
      </c>
      <c r="BZ9" s="373">
        <v>250</v>
      </c>
      <c r="CA9" s="373">
        <v>350</v>
      </c>
      <c r="CB9" s="373">
        <v>500</v>
      </c>
      <c r="CC9" s="373">
        <v>0</v>
      </c>
      <c r="CD9" s="373">
        <v>40</v>
      </c>
      <c r="CE9" s="373">
        <v>60</v>
      </c>
      <c r="CF9" s="373">
        <v>60</v>
      </c>
      <c r="CG9" s="373">
        <v>40</v>
      </c>
      <c r="CH9" s="378"/>
      <c r="CI9" s="378"/>
      <c r="CJ9" s="378"/>
      <c r="CK9" s="378"/>
      <c r="CL9" s="378"/>
      <c r="CM9" s="378"/>
      <c r="CN9" s="378"/>
      <c r="CO9" s="378"/>
      <c r="CP9" s="378"/>
      <c r="CQ9" s="378"/>
      <c r="CR9" s="354"/>
      <c r="CS9" s="379"/>
      <c r="CT9" s="379"/>
      <c r="CU9" s="379"/>
      <c r="CV9" s="379"/>
      <c r="CW9" s="379"/>
      <c r="CX9" s="379"/>
      <c r="CY9" s="379"/>
      <c r="CZ9" s="379"/>
      <c r="DA9" s="379"/>
      <c r="DB9" s="379"/>
      <c r="DC9" s="379"/>
      <c r="DD9" s="354"/>
      <c r="DE9" s="378"/>
      <c r="DF9" s="378"/>
      <c r="DG9" s="378"/>
      <c r="DH9" s="378"/>
      <c r="DI9" s="378"/>
      <c r="DJ9" s="378"/>
      <c r="DK9" s="378"/>
      <c r="DL9" s="378"/>
      <c r="DM9" s="378"/>
      <c r="DN9" s="378"/>
      <c r="DO9" s="380"/>
      <c r="DP9" s="380"/>
      <c r="DQ9" s="380"/>
      <c r="DR9" s="380"/>
      <c r="DS9" s="380"/>
      <c r="DT9" s="380"/>
      <c r="DU9" s="380"/>
      <c r="DV9" s="380"/>
      <c r="DW9" s="380"/>
      <c r="DX9" s="380"/>
      <c r="DY9" s="380"/>
      <c r="DZ9" s="378"/>
      <c r="EA9" s="378"/>
      <c r="EB9" s="378"/>
      <c r="EC9" s="378"/>
      <c r="ED9" s="378"/>
      <c r="EE9" s="378"/>
      <c r="EF9" s="378"/>
      <c r="EG9" s="378"/>
      <c r="EH9" s="378"/>
      <c r="EI9" s="378"/>
      <c r="EJ9" s="354"/>
      <c r="EK9" s="380"/>
      <c r="EL9" s="380"/>
      <c r="EM9" s="380"/>
      <c r="EN9" s="380"/>
      <c r="EO9" s="380"/>
      <c r="EP9" s="380"/>
      <c r="EQ9" s="380"/>
      <c r="ER9" s="380"/>
      <c r="ES9" s="380"/>
      <c r="ET9" s="380"/>
      <c r="EU9" s="379"/>
      <c r="EV9" s="381"/>
      <c r="EW9" s="382"/>
      <c r="EX9" s="382"/>
      <c r="EY9" s="382"/>
      <c r="EZ9" s="382"/>
      <c r="FA9" s="382"/>
      <c r="FB9" s="382"/>
      <c r="FD9" s="91" t="s">
        <v>1612</v>
      </c>
      <c r="FE9" s="583"/>
      <c r="FF9" s="583"/>
      <c r="FG9" s="583"/>
      <c r="FH9" s="583"/>
      <c r="FI9" s="583"/>
    </row>
    <row r="10" spans="1:165" ht="35" customHeight="1" x14ac:dyDescent="0.3">
      <c r="A10" s="330"/>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7"/>
      <c r="AN10" s="318"/>
      <c r="AO10" s="511">
        <f t="shared" si="8"/>
        <v>0</v>
      </c>
      <c r="AP10" s="511">
        <f t="shared" si="9"/>
        <v>0</v>
      </c>
      <c r="AQ10" s="511">
        <f t="shared" si="10"/>
        <v>0</v>
      </c>
      <c r="AR10" s="511">
        <f t="shared" si="11"/>
        <v>0</v>
      </c>
      <c r="AS10" s="511">
        <f>HLOOKUP($C$1,'Inflation Adjustments'!$BI$3:$BT$4,2)*CR10</f>
        <v>0</v>
      </c>
      <c r="AT10" s="511">
        <f>IF(BU10="In Service",'Maintenace Cost Assumptions'!$B$3*AS10,0)</f>
        <v>0</v>
      </c>
      <c r="AU10" s="318"/>
      <c r="AV10" s="318"/>
      <c r="AW10" s="318"/>
      <c r="AX10" s="318"/>
      <c r="AY10" s="318"/>
      <c r="AZ10" s="318"/>
      <c r="BA10" s="318"/>
      <c r="BB10" s="318"/>
      <c r="BC10" s="318"/>
      <c r="BD10" s="318"/>
      <c r="BE10" s="318"/>
      <c r="BF10" s="318"/>
      <c r="BG10" s="332">
        <f>(AU10*'Condition rating weights'!H$8+AV10*'Condition rating weights'!I$8+AW10*'Condition rating weights'!J$8+AX10*'Condition rating weights'!K$8+AY10*'Condition rating weights'!L$8+AZ10*'Condition rating weights'!M$8+BA10*'Condition rating weights'!N$8+BB10*'Condition rating weights'!O$8+BC10*'Condition rating weights'!P$8+BD10*'Condition rating weights'!Q$8+BE10*'Condition rating weights'!R$8+BF10*'Condition rating weights'!S$8)/100</f>
        <v>0</v>
      </c>
      <c r="BH10" s="333"/>
      <c r="BI10" s="333"/>
      <c r="BJ10" s="333"/>
      <c r="BK10" s="333"/>
      <c r="BL10" s="333"/>
      <c r="BM10" s="333"/>
      <c r="BN10" s="333"/>
      <c r="BO10" s="333"/>
      <c r="BP10" s="333"/>
      <c r="BQ10" s="333"/>
      <c r="BR10" s="333"/>
      <c r="BS10" s="333"/>
      <c r="BT10" s="334"/>
      <c r="BU10" s="335"/>
      <c r="BV10" s="346"/>
      <c r="BY10" s="376" t="s">
        <v>166</v>
      </c>
      <c r="BZ10" s="373">
        <v>100</v>
      </c>
      <c r="CA10" s="373">
        <v>150</v>
      </c>
      <c r="CB10" s="373">
        <v>300</v>
      </c>
      <c r="CC10" s="373">
        <v>0</v>
      </c>
      <c r="CD10" s="373">
        <v>20</v>
      </c>
      <c r="CE10" s="373">
        <v>30</v>
      </c>
      <c r="CF10" s="373">
        <v>40</v>
      </c>
      <c r="CG10" s="373">
        <v>20</v>
      </c>
      <c r="CH10" s="378"/>
      <c r="CI10" s="378"/>
      <c r="CJ10" s="378"/>
      <c r="CK10" s="378"/>
      <c r="CL10" s="378"/>
      <c r="CM10" s="378"/>
      <c r="CN10" s="378"/>
      <c r="CO10" s="378"/>
      <c r="CP10" s="378"/>
      <c r="CQ10" s="378"/>
      <c r="CR10" s="354"/>
      <c r="CS10" s="379"/>
      <c r="CT10" s="379"/>
      <c r="CU10" s="379"/>
      <c r="CV10" s="379"/>
      <c r="CW10" s="379"/>
      <c r="CX10" s="379"/>
      <c r="CY10" s="379"/>
      <c r="CZ10" s="379"/>
      <c r="DA10" s="379"/>
      <c r="DB10" s="379"/>
      <c r="DC10" s="379"/>
      <c r="DD10" s="354"/>
      <c r="DE10" s="378"/>
      <c r="DF10" s="378"/>
      <c r="DG10" s="378"/>
      <c r="DH10" s="378"/>
      <c r="DI10" s="378"/>
      <c r="DJ10" s="378"/>
      <c r="DK10" s="378"/>
      <c r="DL10" s="378"/>
      <c r="DM10" s="378"/>
      <c r="DN10" s="378"/>
      <c r="DO10" s="380"/>
      <c r="DP10" s="380"/>
      <c r="DQ10" s="380"/>
      <c r="DR10" s="380"/>
      <c r="DS10" s="380"/>
      <c r="DT10" s="380"/>
      <c r="DU10" s="380"/>
      <c r="DV10" s="380"/>
      <c r="DW10" s="380"/>
      <c r="DX10" s="380"/>
      <c r="DY10" s="380"/>
      <c r="DZ10" s="378"/>
      <c r="EA10" s="378"/>
      <c r="EB10" s="378"/>
      <c r="EC10" s="378"/>
      <c r="ED10" s="378"/>
      <c r="EE10" s="378"/>
      <c r="EF10" s="378"/>
      <c r="EG10" s="378"/>
      <c r="EH10" s="378"/>
      <c r="EI10" s="378"/>
      <c r="EJ10" s="354"/>
      <c r="EK10" s="380"/>
      <c r="EL10" s="380"/>
      <c r="EM10" s="380"/>
      <c r="EN10" s="380"/>
      <c r="EO10" s="380"/>
      <c r="EP10" s="380"/>
      <c r="EQ10" s="380"/>
      <c r="ER10" s="380"/>
      <c r="ES10" s="380"/>
      <c r="ET10" s="380"/>
      <c r="EU10" s="379"/>
      <c r="EV10" s="381"/>
      <c r="EW10" s="382"/>
      <c r="EX10" s="382"/>
      <c r="EY10" s="382"/>
      <c r="EZ10" s="382"/>
      <c r="FA10" s="382"/>
      <c r="FB10" s="382"/>
      <c r="FD10" s="91" t="s">
        <v>1612</v>
      </c>
      <c r="FE10" s="583"/>
      <c r="FF10" s="583"/>
      <c r="FG10" s="583"/>
      <c r="FH10" s="583"/>
      <c r="FI10" s="583"/>
    </row>
    <row r="11" spans="1:165" ht="35" customHeight="1" x14ac:dyDescent="0.3">
      <c r="A11" s="330"/>
      <c r="B11" s="318"/>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7"/>
      <c r="AN11" s="318"/>
      <c r="AO11" s="317"/>
      <c r="AP11" s="317"/>
      <c r="AQ11" s="317"/>
      <c r="AR11" s="317"/>
      <c r="AS11" s="317"/>
      <c r="AT11" s="317"/>
      <c r="AU11" s="318"/>
      <c r="AV11" s="318"/>
      <c r="AW11" s="318"/>
      <c r="AX11" s="318"/>
      <c r="AY11" s="318"/>
      <c r="AZ11" s="318"/>
      <c r="BA11" s="318"/>
      <c r="BB11" s="318"/>
      <c r="BC11" s="318"/>
      <c r="BD11" s="318"/>
      <c r="BE11" s="318"/>
      <c r="BF11" s="318"/>
      <c r="BG11" s="318"/>
      <c r="BH11" s="333"/>
      <c r="BI11" s="333"/>
      <c r="BJ11" s="333"/>
      <c r="BK11" s="333"/>
      <c r="BL11" s="333"/>
      <c r="BM11" s="333"/>
      <c r="BN11" s="333"/>
      <c r="BO11" s="333"/>
      <c r="BP11" s="333"/>
      <c r="BQ11" s="333"/>
      <c r="BR11" s="333"/>
      <c r="BS11" s="333"/>
      <c r="BT11" s="334"/>
      <c r="BU11" s="335"/>
      <c r="BV11" s="346"/>
      <c r="BY11" s="376" t="s">
        <v>167</v>
      </c>
      <c r="BZ11" s="373">
        <v>80</v>
      </c>
      <c r="CA11" s="373">
        <v>100</v>
      </c>
      <c r="CB11" s="373">
        <v>150</v>
      </c>
      <c r="CC11" s="373">
        <v>0</v>
      </c>
      <c r="CD11" s="373">
        <v>10</v>
      </c>
      <c r="CE11" s="373">
        <v>20</v>
      </c>
      <c r="CF11" s="373">
        <v>30</v>
      </c>
      <c r="CG11" s="373">
        <v>10</v>
      </c>
      <c r="CH11" s="378"/>
      <c r="CI11" s="378"/>
      <c r="CJ11" s="378"/>
      <c r="CK11" s="378"/>
      <c r="CL11" s="378"/>
      <c r="CM11" s="378"/>
      <c r="CN11" s="378"/>
      <c r="CO11" s="378"/>
      <c r="CP11" s="378"/>
      <c r="CQ11" s="378"/>
      <c r="CR11" s="354"/>
      <c r="CS11" s="379"/>
      <c r="CT11" s="379"/>
      <c r="CU11" s="379"/>
      <c r="CV11" s="379"/>
      <c r="CW11" s="379"/>
      <c r="CX11" s="379"/>
      <c r="CY11" s="379"/>
      <c r="CZ11" s="379"/>
      <c r="DA11" s="379"/>
      <c r="DB11" s="379"/>
      <c r="DC11" s="379"/>
      <c r="DD11" s="354"/>
      <c r="DE11" s="378"/>
      <c r="DF11" s="378"/>
      <c r="DG11" s="378"/>
      <c r="DH11" s="378"/>
      <c r="DI11" s="378"/>
      <c r="DJ11" s="378"/>
      <c r="DK11" s="378"/>
      <c r="DL11" s="378"/>
      <c r="DM11" s="378"/>
      <c r="DN11" s="378"/>
      <c r="DO11" s="380"/>
      <c r="DP11" s="380"/>
      <c r="DQ11" s="380"/>
      <c r="DR11" s="380"/>
      <c r="DS11" s="380"/>
      <c r="DT11" s="380"/>
      <c r="DU11" s="380"/>
      <c r="DV11" s="380"/>
      <c r="DW11" s="380"/>
      <c r="DX11" s="380"/>
      <c r="DY11" s="380"/>
      <c r="DZ11" s="378"/>
      <c r="EA11" s="378"/>
      <c r="EB11" s="378"/>
      <c r="EC11" s="378"/>
      <c r="ED11" s="378"/>
      <c r="EE11" s="378"/>
      <c r="EF11" s="378"/>
      <c r="EG11" s="378"/>
      <c r="EH11" s="378"/>
      <c r="EI11" s="378"/>
      <c r="EJ11" s="354"/>
      <c r="EK11" s="380"/>
      <c r="EL11" s="380"/>
      <c r="EM11" s="380"/>
      <c r="EN11" s="380"/>
      <c r="EO11" s="380"/>
      <c r="EP11" s="380"/>
      <c r="EQ11" s="380"/>
      <c r="ER11" s="380"/>
      <c r="ES11" s="380"/>
      <c r="ET11" s="380"/>
      <c r="EU11" s="379"/>
      <c r="EV11" s="381"/>
      <c r="EW11" s="382"/>
      <c r="EX11" s="382"/>
      <c r="EY11" s="382"/>
      <c r="EZ11" s="382"/>
      <c r="FA11" s="382"/>
      <c r="FB11" s="382"/>
      <c r="FD11" s="91" t="s">
        <v>1612</v>
      </c>
      <c r="FE11" s="583"/>
      <c r="FF11" s="583"/>
      <c r="FG11" s="583"/>
      <c r="FH11" s="583"/>
      <c r="FI11" s="583"/>
    </row>
    <row r="12" spans="1:165" ht="35" customHeight="1" x14ac:dyDescent="0.3">
      <c r="A12" s="330"/>
      <c r="B12" s="318"/>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7"/>
      <c r="AN12" s="318"/>
      <c r="AO12" s="317"/>
      <c r="AP12" s="317"/>
      <c r="AQ12" s="317"/>
      <c r="AR12" s="317"/>
      <c r="AS12" s="317"/>
      <c r="AT12" s="317"/>
      <c r="AU12" s="318"/>
      <c r="AV12" s="318"/>
      <c r="AW12" s="318"/>
      <c r="AX12" s="318"/>
      <c r="AY12" s="318"/>
      <c r="AZ12" s="318"/>
      <c r="BA12" s="318"/>
      <c r="BB12" s="318"/>
      <c r="BC12" s="318"/>
      <c r="BD12" s="318"/>
      <c r="BE12" s="318"/>
      <c r="BF12" s="318"/>
      <c r="BG12" s="318"/>
      <c r="BH12" s="333"/>
      <c r="BI12" s="333"/>
      <c r="BJ12" s="333"/>
      <c r="BK12" s="333"/>
      <c r="BL12" s="333"/>
      <c r="BM12" s="333"/>
      <c r="BN12" s="333"/>
      <c r="BO12" s="333"/>
      <c r="BP12" s="333"/>
      <c r="BQ12" s="333"/>
      <c r="BR12" s="333"/>
      <c r="BS12" s="333"/>
      <c r="BT12" s="334"/>
      <c r="BU12" s="335"/>
      <c r="BV12" s="346"/>
      <c r="BY12" s="376" t="str">
        <f>'GRC and TUL Assumptions'!A12</f>
        <v>Services Electrical</v>
      </c>
      <c r="BZ12" s="373">
        <f>'GRC and TUL Assumptions'!C12</f>
        <v>80</v>
      </c>
      <c r="CA12" s="373">
        <f>'GRC and TUL Assumptions'!D12</f>
        <v>100</v>
      </c>
      <c r="CB12" s="373">
        <f>'GRC and TUL Assumptions'!E12</f>
        <v>150</v>
      </c>
      <c r="CC12" s="373">
        <v>0</v>
      </c>
      <c r="CD12" s="373">
        <f>'GRC and TUL Assumptions'!F12</f>
        <v>20</v>
      </c>
      <c r="CE12" s="373">
        <f>'GRC and TUL Assumptions'!G12</f>
        <v>30</v>
      </c>
      <c r="CF12" s="373">
        <f>'GRC and TUL Assumptions'!H12</f>
        <v>40</v>
      </c>
      <c r="CG12" s="373">
        <f t="shared" si="12"/>
        <v>20</v>
      </c>
      <c r="CH12" s="378" t="e">
        <f t="shared" ref="CH12:CH34" si="13">(HLOOKUP(T12,$BZ$4:$CC$14,2,TRUE))*$AE12</f>
        <v>#N/A</v>
      </c>
      <c r="CI12" s="378" t="e">
        <f t="shared" ref="CI12:CI34" si="14">(HLOOKUP(U12,$BZ$4:$CC$14,3,TRUE))*$AE12</f>
        <v>#N/A</v>
      </c>
      <c r="CJ12" s="378" t="e">
        <f t="shared" ref="CJ12:CJ34" si="15">(HLOOKUP(V12,$BZ$4:$CC$14,4,TRUE))*$AE12/BH12</f>
        <v>#N/A</v>
      </c>
      <c r="CK12" s="378" t="e">
        <f t="shared" ref="CK12:CK34" si="16">(HLOOKUP(W12,$BZ$4:$CC$14,5,TRUE))*$AE12</f>
        <v>#N/A</v>
      </c>
      <c r="CL12" s="378" t="e">
        <f t="shared" ref="CL12:CL34" si="17">(HLOOKUP(X12,$BZ$4:$CC$14,6,TRUE))*$AE12</f>
        <v>#N/A</v>
      </c>
      <c r="CM12" s="378" t="e">
        <f t="shared" ref="CM12:CM34" si="18">(HLOOKUP(Y12,$BZ$4:$CC$14,7,TRUE))*$AE12</f>
        <v>#N/A</v>
      </c>
      <c r="CN12" s="378" t="e">
        <f t="shared" ref="CN12:CN34" si="19">(HLOOKUP(Z12,$BZ$4:$CC$14,8,FALSE))*$AE12</f>
        <v>#N/A</v>
      </c>
      <c r="CO12" s="378" t="e">
        <f t="shared" ref="CO12:CO34" si="20">(HLOOKUP(AA12,$BZ$4:$CC$14,9,FALSE))*$AE12</f>
        <v>#N/A</v>
      </c>
      <c r="CP12" s="378" t="e">
        <f t="shared" ref="CP12:CP34" si="21">(HLOOKUP(AB12,$BZ$4:$CC$14,10,FALSE))*$AE12</f>
        <v>#N/A</v>
      </c>
      <c r="CQ12" s="378" t="e">
        <f t="shared" ref="CQ12:CQ34" si="22">(HLOOKUP(AC12,$BZ$4:$CC$14,11,FALSE))*$AE12</f>
        <v>#N/A</v>
      </c>
      <c r="CR12" s="354" t="e">
        <f t="shared" ref="CR12:CR22" si="23">SUM(CH12:CQ12)</f>
        <v>#N/A</v>
      </c>
      <c r="CS12" s="379" t="e">
        <f>(HLOOKUP($AI12,'Inflation Adjustments'!$B$3:$BT$4,2,TRUE))*CH12</f>
        <v>#N/A</v>
      </c>
      <c r="CT12" s="379" t="e">
        <f>(HLOOKUP($AI12,'Inflation Adjustments'!$B$3:$BT$4,2,TRUE))*CI12</f>
        <v>#N/A</v>
      </c>
      <c r="CU12" s="379" t="e">
        <f>(HLOOKUP($AI12,'Inflation Adjustments'!$B$3:$BT$4,2,TRUE))*CJ12</f>
        <v>#N/A</v>
      </c>
      <c r="CV12" s="379" t="e">
        <f>(HLOOKUP($AI12,'Inflation Adjustments'!$B$3:$BT$4,2,TRUE))*CK12</f>
        <v>#N/A</v>
      </c>
      <c r="CW12" s="379" t="e">
        <f>(HLOOKUP($AI12,'Inflation Adjustments'!$B$3:$BT$4,2,TRUE))*CL12</f>
        <v>#N/A</v>
      </c>
      <c r="CX12" s="379" t="e">
        <f>(HLOOKUP($AI12,'Inflation Adjustments'!$B$3:$BT$4,2,TRUE))*CM12</f>
        <v>#N/A</v>
      </c>
      <c r="CY12" s="379" t="e">
        <f>(HLOOKUP($AI12,'Inflation Adjustments'!$B$3:$BT$4,2,TRUE))*CN12</f>
        <v>#N/A</v>
      </c>
      <c r="CZ12" s="379" t="e">
        <f>(HLOOKUP($AI12,'Inflation Adjustments'!$B$3:$BT$4,2,TRUE))*CO12</f>
        <v>#N/A</v>
      </c>
      <c r="DA12" s="379" t="e">
        <f>(HLOOKUP($AI12,'Inflation Adjustments'!$B$3:$BT$4,2,TRUE))*CP12</f>
        <v>#N/A</v>
      </c>
      <c r="DB12" s="379" t="e">
        <f>(HLOOKUP($AI12,'Inflation Adjustments'!$B$3:$BT$4,2,TRUE))*CQ12</f>
        <v>#N/A</v>
      </c>
      <c r="DC12" s="379" t="e">
        <f t="shared" ref="DC12:DC34" si="24">SUM(CS12:DB12)</f>
        <v>#N/A</v>
      </c>
      <c r="DD12" s="354">
        <f t="shared" ref="DD12:DD34" si="25">IF(($C$1-AI12-1)&lt;0,0,$C$1-AI12-1)</f>
        <v>2022</v>
      </c>
      <c r="DE12" s="378" t="e">
        <f t="shared" ref="DE12:DE34" si="26">(HLOOKUP(T12,$CD$4:$CG$14,2,FALSE))</f>
        <v>#N/A</v>
      </c>
      <c r="DF12" s="378" t="e">
        <f t="shared" ref="DF12:DF34" si="27">(HLOOKUP(U12,$CD$4:$CG$14,3,FALSE))</f>
        <v>#N/A</v>
      </c>
      <c r="DG12" s="378" t="e">
        <f t="shared" ref="DG12:DG34" si="28">(HLOOKUP(V12,$CD$4:$CG$14,4,FALSE))</f>
        <v>#N/A</v>
      </c>
      <c r="DH12" s="378" t="e">
        <f t="shared" ref="DH12:DH34" si="29">(HLOOKUP(W12,$CD$4:$CG$14,5,FALSE))</f>
        <v>#N/A</v>
      </c>
      <c r="DI12" s="378" t="e">
        <f t="shared" ref="DI12:DI34" si="30">(HLOOKUP(X12,$CD$4:$CG$14,6,FALSE))</f>
        <v>#N/A</v>
      </c>
      <c r="DJ12" s="378" t="e">
        <f t="shared" ref="DJ12:DJ34" si="31">(HLOOKUP(Y12,$CD$4:$CG$14,7,FALSE))</f>
        <v>#N/A</v>
      </c>
      <c r="DK12" s="378" t="e">
        <f t="shared" ref="DK12:DL24" si="32">(HLOOKUP(Z12,$CD$4:$CG$14,8,FALSE))</f>
        <v>#N/A</v>
      </c>
      <c r="DL12" s="378" t="e">
        <f t="shared" si="32"/>
        <v>#N/A</v>
      </c>
      <c r="DM12" s="378" t="e">
        <f t="shared" ref="DM12:DM34" si="33">(HLOOKUP(AB12,$CD$4:$CG$14,9))</f>
        <v>#N/A</v>
      </c>
      <c r="DN12" s="378" t="e">
        <f t="shared" ref="DN12:DN34" si="34">(HLOOKUP(AC12,$CD$4:$CG$14,10))</f>
        <v>#N/A</v>
      </c>
      <c r="DO12" s="380" t="e">
        <f t="shared" ref="DO12:DX22" si="35">CS12/DE12</f>
        <v>#N/A</v>
      </c>
      <c r="DP12" s="380" t="e">
        <f t="shared" ref="DP12:DX20" si="36">CT12/DF12</f>
        <v>#N/A</v>
      </c>
      <c r="DQ12" s="380" t="e">
        <f t="shared" si="36"/>
        <v>#N/A</v>
      </c>
      <c r="DR12" s="380" t="e">
        <f t="shared" si="36"/>
        <v>#N/A</v>
      </c>
      <c r="DS12" s="380" t="e">
        <f t="shared" si="36"/>
        <v>#N/A</v>
      </c>
      <c r="DT12" s="380" t="e">
        <f t="shared" si="36"/>
        <v>#N/A</v>
      </c>
      <c r="DU12" s="380" t="e">
        <f t="shared" si="36"/>
        <v>#N/A</v>
      </c>
      <c r="DV12" s="380" t="e">
        <f t="shared" si="36"/>
        <v>#N/A</v>
      </c>
      <c r="DW12" s="380" t="e">
        <f t="shared" si="36"/>
        <v>#N/A</v>
      </c>
      <c r="DX12" s="380" t="e">
        <f t="shared" si="36"/>
        <v>#N/A</v>
      </c>
      <c r="DY12" s="380" t="e">
        <f t="shared" ref="DY12:DY22" si="37">SUM(DO12:DX12)</f>
        <v>#N/A</v>
      </c>
      <c r="DZ12" s="378" t="e">
        <f t="shared" ref="DZ12:EI22" si="38">IF(DO12*$DD12&gt;CS12,CS12,DO12*$DD12)</f>
        <v>#N/A</v>
      </c>
      <c r="EA12" s="378" t="e">
        <f t="shared" ref="EA12:EI20" si="39">IF(DP12*$DD12&gt;CT12,CT12,DP12*$DD12)</f>
        <v>#N/A</v>
      </c>
      <c r="EB12" s="378" t="e">
        <f t="shared" si="39"/>
        <v>#N/A</v>
      </c>
      <c r="EC12" s="378" t="e">
        <f t="shared" si="39"/>
        <v>#N/A</v>
      </c>
      <c r="ED12" s="378" t="e">
        <f t="shared" si="39"/>
        <v>#N/A</v>
      </c>
      <c r="EE12" s="378" t="e">
        <f t="shared" si="39"/>
        <v>#N/A</v>
      </c>
      <c r="EF12" s="378" t="e">
        <f t="shared" si="39"/>
        <v>#N/A</v>
      </c>
      <c r="EG12" s="378" t="e">
        <f t="shared" si="39"/>
        <v>#N/A</v>
      </c>
      <c r="EH12" s="378" t="e">
        <f t="shared" si="39"/>
        <v>#N/A</v>
      </c>
      <c r="EI12" s="378" t="e">
        <f t="shared" si="39"/>
        <v>#N/A</v>
      </c>
      <c r="EJ12" s="354" t="e">
        <f t="shared" ref="EJ12:EJ22" si="40">SUM(DZ12:EI12)</f>
        <v>#N/A</v>
      </c>
      <c r="EK12" s="380" t="e">
        <f t="shared" ref="EK12:ET22" si="41">IF(DO12&lt;(CS12-DZ12),DO12,(CS12-DZ12))</f>
        <v>#N/A</v>
      </c>
      <c r="EL12" s="380" t="e">
        <f t="shared" ref="EL12:ET20" si="42">IF(DP12&lt;(CT12-EA12),DP12,(CT12-EA12))</f>
        <v>#N/A</v>
      </c>
      <c r="EM12" s="380" t="e">
        <f t="shared" si="42"/>
        <v>#N/A</v>
      </c>
      <c r="EN12" s="380" t="e">
        <f t="shared" si="42"/>
        <v>#N/A</v>
      </c>
      <c r="EO12" s="380" t="e">
        <f t="shared" si="42"/>
        <v>#N/A</v>
      </c>
      <c r="EP12" s="380" t="e">
        <f t="shared" si="42"/>
        <v>#N/A</v>
      </c>
      <c r="EQ12" s="380" t="e">
        <f t="shared" si="42"/>
        <v>#N/A</v>
      </c>
      <c r="ER12" s="380" t="e">
        <f t="shared" si="42"/>
        <v>#N/A</v>
      </c>
      <c r="ES12" s="380" t="e">
        <f t="shared" si="42"/>
        <v>#N/A</v>
      </c>
      <c r="ET12" s="380" t="e">
        <f t="shared" si="42"/>
        <v>#N/A</v>
      </c>
      <c r="EU12" s="379" t="e">
        <f t="shared" ref="EU12:EU22" si="43">SUM(EK12:ET12)</f>
        <v>#N/A</v>
      </c>
      <c r="EV12" s="381"/>
      <c r="EW12" s="382"/>
      <c r="EX12" s="382"/>
      <c r="EY12" s="382"/>
      <c r="EZ12" s="382"/>
      <c r="FA12" s="382"/>
      <c r="FB12" s="382"/>
      <c r="FE12" s="583" t="s">
        <v>1657</v>
      </c>
      <c r="FF12" s="583"/>
      <c r="FG12" s="583"/>
      <c r="FH12" s="583"/>
      <c r="FI12" s="583"/>
    </row>
    <row r="13" spans="1:165" ht="35" customHeight="1" x14ac:dyDescent="0.3">
      <c r="A13" s="330"/>
      <c r="B13" s="318"/>
      <c r="C13" s="318"/>
      <c r="D13" s="318"/>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7"/>
      <c r="AN13" s="318"/>
      <c r="AO13" s="317"/>
      <c r="AP13" s="317"/>
      <c r="AQ13" s="317"/>
      <c r="AR13" s="317"/>
      <c r="AS13" s="317"/>
      <c r="AT13" s="317"/>
      <c r="AU13" s="318"/>
      <c r="AV13" s="318"/>
      <c r="AW13" s="318"/>
      <c r="AX13" s="318"/>
      <c r="AY13" s="318"/>
      <c r="AZ13" s="318"/>
      <c r="BA13" s="318"/>
      <c r="BB13" s="318"/>
      <c r="BC13" s="318"/>
      <c r="BD13" s="318"/>
      <c r="BE13" s="318"/>
      <c r="BF13" s="318"/>
      <c r="BG13" s="318"/>
      <c r="BH13" s="333"/>
      <c r="BI13" s="333"/>
      <c r="BJ13" s="333"/>
      <c r="BK13" s="333"/>
      <c r="BL13" s="333"/>
      <c r="BM13" s="333"/>
      <c r="BN13" s="333"/>
      <c r="BO13" s="333"/>
      <c r="BP13" s="333"/>
      <c r="BQ13" s="333"/>
      <c r="BR13" s="333"/>
      <c r="BS13" s="333"/>
      <c r="BT13" s="334"/>
      <c r="BU13" s="335"/>
      <c r="BV13" s="346"/>
      <c r="BY13" s="376" t="str">
        <f>'GRC and TUL Assumptions'!A13</f>
        <v>Services Sanitation</v>
      </c>
      <c r="BZ13" s="373">
        <f>'GRC and TUL Assumptions'!C13</f>
        <v>100</v>
      </c>
      <c r="CA13" s="373">
        <f>'GRC and TUL Assumptions'!D13</f>
        <v>130</v>
      </c>
      <c r="CB13" s="373">
        <f>'GRC and TUL Assumptions'!E13</f>
        <v>150</v>
      </c>
      <c r="CC13" s="373">
        <v>0</v>
      </c>
      <c r="CD13" s="373">
        <f>'GRC and TUL Assumptions'!F13</f>
        <v>20</v>
      </c>
      <c r="CE13" s="373">
        <f>'GRC and TUL Assumptions'!G13</f>
        <v>30</v>
      </c>
      <c r="CF13" s="373">
        <f>'GRC and TUL Assumptions'!H13</f>
        <v>40</v>
      </c>
      <c r="CG13" s="373">
        <f t="shared" si="12"/>
        <v>20</v>
      </c>
      <c r="CH13" s="378" t="e">
        <f t="shared" si="13"/>
        <v>#N/A</v>
      </c>
      <c r="CI13" s="378" t="e">
        <f t="shared" si="14"/>
        <v>#N/A</v>
      </c>
      <c r="CJ13" s="378" t="e">
        <f t="shared" si="15"/>
        <v>#N/A</v>
      </c>
      <c r="CK13" s="378" t="e">
        <f t="shared" si="16"/>
        <v>#N/A</v>
      </c>
      <c r="CL13" s="378" t="e">
        <f t="shared" si="17"/>
        <v>#N/A</v>
      </c>
      <c r="CM13" s="378" t="e">
        <f t="shared" si="18"/>
        <v>#N/A</v>
      </c>
      <c r="CN13" s="378" t="e">
        <f t="shared" si="19"/>
        <v>#N/A</v>
      </c>
      <c r="CO13" s="378" t="e">
        <f t="shared" si="20"/>
        <v>#N/A</v>
      </c>
      <c r="CP13" s="378" t="e">
        <f t="shared" si="21"/>
        <v>#N/A</v>
      </c>
      <c r="CQ13" s="378" t="e">
        <f t="shared" si="22"/>
        <v>#N/A</v>
      </c>
      <c r="CR13" s="354" t="e">
        <f t="shared" si="23"/>
        <v>#N/A</v>
      </c>
      <c r="CS13" s="379" t="e">
        <f>(HLOOKUP($AI13,'Inflation Adjustments'!$B$3:$BT$4,2,TRUE))*CH13</f>
        <v>#N/A</v>
      </c>
      <c r="CT13" s="379" t="e">
        <f>(HLOOKUP($AI13,'Inflation Adjustments'!$B$3:$BT$4,2,TRUE))*CI13</f>
        <v>#N/A</v>
      </c>
      <c r="CU13" s="379" t="e">
        <f>(HLOOKUP($AI13,'Inflation Adjustments'!$B$3:$BT$4,2,TRUE))*CJ13</f>
        <v>#N/A</v>
      </c>
      <c r="CV13" s="379" t="e">
        <f>(HLOOKUP($AI13,'Inflation Adjustments'!$B$3:$BT$4,2,TRUE))*CK13</f>
        <v>#N/A</v>
      </c>
      <c r="CW13" s="379" t="e">
        <f>(HLOOKUP($AI13,'Inflation Adjustments'!$B$3:$BT$4,2,TRUE))*CL13</f>
        <v>#N/A</v>
      </c>
      <c r="CX13" s="379" t="e">
        <f>(HLOOKUP($AI13,'Inflation Adjustments'!$B$3:$BT$4,2,TRUE))*CM13</f>
        <v>#N/A</v>
      </c>
      <c r="CY13" s="379" t="e">
        <f>(HLOOKUP($AI13,'Inflation Adjustments'!$B$3:$BT$4,2,TRUE))*CN13</f>
        <v>#N/A</v>
      </c>
      <c r="CZ13" s="379" t="e">
        <f>(HLOOKUP($AI13,'Inflation Adjustments'!$B$3:$BT$4,2,TRUE))*CO13</f>
        <v>#N/A</v>
      </c>
      <c r="DA13" s="379" t="e">
        <f>(HLOOKUP($AI13,'Inflation Adjustments'!$B$3:$BT$4,2,TRUE))*CP13</f>
        <v>#N/A</v>
      </c>
      <c r="DB13" s="379" t="e">
        <f>(HLOOKUP($AI13,'Inflation Adjustments'!$B$3:$BT$4,2,TRUE))*CQ13</f>
        <v>#N/A</v>
      </c>
      <c r="DC13" s="379" t="e">
        <f t="shared" si="24"/>
        <v>#N/A</v>
      </c>
      <c r="DD13" s="354">
        <f t="shared" si="25"/>
        <v>2022</v>
      </c>
      <c r="DE13" s="378" t="e">
        <f t="shared" si="26"/>
        <v>#N/A</v>
      </c>
      <c r="DF13" s="378" t="e">
        <f t="shared" si="27"/>
        <v>#N/A</v>
      </c>
      <c r="DG13" s="378" t="e">
        <f t="shared" si="28"/>
        <v>#N/A</v>
      </c>
      <c r="DH13" s="378" t="e">
        <f t="shared" si="29"/>
        <v>#N/A</v>
      </c>
      <c r="DI13" s="378" t="e">
        <f t="shared" si="30"/>
        <v>#N/A</v>
      </c>
      <c r="DJ13" s="378" t="e">
        <f t="shared" si="31"/>
        <v>#N/A</v>
      </c>
      <c r="DK13" s="378" t="e">
        <f t="shared" si="32"/>
        <v>#N/A</v>
      </c>
      <c r="DL13" s="378" t="e">
        <f t="shared" si="32"/>
        <v>#N/A</v>
      </c>
      <c r="DM13" s="378" t="e">
        <f t="shared" si="33"/>
        <v>#N/A</v>
      </c>
      <c r="DN13" s="378" t="e">
        <f t="shared" si="34"/>
        <v>#N/A</v>
      </c>
      <c r="DO13" s="380" t="e">
        <f t="shared" si="35"/>
        <v>#N/A</v>
      </c>
      <c r="DP13" s="380" t="e">
        <f t="shared" si="36"/>
        <v>#N/A</v>
      </c>
      <c r="DQ13" s="380" t="e">
        <f t="shared" si="36"/>
        <v>#N/A</v>
      </c>
      <c r="DR13" s="380" t="e">
        <f t="shared" si="36"/>
        <v>#N/A</v>
      </c>
      <c r="DS13" s="380" t="e">
        <f t="shared" si="36"/>
        <v>#N/A</v>
      </c>
      <c r="DT13" s="380" t="e">
        <f t="shared" si="36"/>
        <v>#N/A</v>
      </c>
      <c r="DU13" s="380" t="e">
        <f t="shared" si="36"/>
        <v>#N/A</v>
      </c>
      <c r="DV13" s="380" t="e">
        <f t="shared" si="36"/>
        <v>#N/A</v>
      </c>
      <c r="DW13" s="380" t="e">
        <f t="shared" si="36"/>
        <v>#N/A</v>
      </c>
      <c r="DX13" s="380" t="e">
        <f t="shared" si="36"/>
        <v>#N/A</v>
      </c>
      <c r="DY13" s="380" t="e">
        <f t="shared" si="37"/>
        <v>#N/A</v>
      </c>
      <c r="DZ13" s="378" t="e">
        <f t="shared" si="38"/>
        <v>#N/A</v>
      </c>
      <c r="EA13" s="378" t="e">
        <f t="shared" si="39"/>
        <v>#N/A</v>
      </c>
      <c r="EB13" s="378" t="e">
        <f t="shared" si="39"/>
        <v>#N/A</v>
      </c>
      <c r="EC13" s="378" t="e">
        <f t="shared" si="39"/>
        <v>#N/A</v>
      </c>
      <c r="ED13" s="378" t="e">
        <f t="shared" si="39"/>
        <v>#N/A</v>
      </c>
      <c r="EE13" s="378" t="e">
        <f t="shared" si="39"/>
        <v>#N/A</v>
      </c>
      <c r="EF13" s="378" t="e">
        <f t="shared" si="39"/>
        <v>#N/A</v>
      </c>
      <c r="EG13" s="378" t="e">
        <f t="shared" si="39"/>
        <v>#N/A</v>
      </c>
      <c r="EH13" s="378" t="e">
        <f t="shared" si="39"/>
        <v>#N/A</v>
      </c>
      <c r="EI13" s="378" t="e">
        <f t="shared" si="39"/>
        <v>#N/A</v>
      </c>
      <c r="EJ13" s="354" t="e">
        <f t="shared" si="40"/>
        <v>#N/A</v>
      </c>
      <c r="EK13" s="380" t="e">
        <f t="shared" si="41"/>
        <v>#N/A</v>
      </c>
      <c r="EL13" s="380" t="e">
        <f t="shared" si="42"/>
        <v>#N/A</v>
      </c>
      <c r="EM13" s="380" t="e">
        <f t="shared" si="42"/>
        <v>#N/A</v>
      </c>
      <c r="EN13" s="380" t="e">
        <f t="shared" si="42"/>
        <v>#N/A</v>
      </c>
      <c r="EO13" s="380" t="e">
        <f t="shared" si="42"/>
        <v>#N/A</v>
      </c>
      <c r="EP13" s="380" t="e">
        <f t="shared" si="42"/>
        <v>#N/A</v>
      </c>
      <c r="EQ13" s="380" t="e">
        <f t="shared" si="42"/>
        <v>#N/A</v>
      </c>
      <c r="ER13" s="380" t="e">
        <f t="shared" si="42"/>
        <v>#N/A</v>
      </c>
      <c r="ES13" s="380" t="e">
        <f t="shared" si="42"/>
        <v>#N/A</v>
      </c>
      <c r="ET13" s="380" t="e">
        <f t="shared" si="42"/>
        <v>#N/A</v>
      </c>
      <c r="EU13" s="379" t="e">
        <f t="shared" si="43"/>
        <v>#N/A</v>
      </c>
      <c r="EV13" s="381"/>
      <c r="EW13" s="382"/>
      <c r="EX13" s="382"/>
      <c r="EY13" s="382"/>
      <c r="EZ13" s="382"/>
      <c r="FA13" s="382"/>
      <c r="FB13" s="382"/>
      <c r="FD13" s="91" t="s">
        <v>1661</v>
      </c>
      <c r="FE13" s="583"/>
      <c r="FF13" s="583"/>
      <c r="FG13" s="583"/>
      <c r="FH13" s="583"/>
      <c r="FI13" s="583"/>
    </row>
    <row r="14" spans="1:165" ht="35" customHeight="1" x14ac:dyDescent="0.3">
      <c r="A14" s="330"/>
      <c r="B14" s="318"/>
      <c r="C14" s="318"/>
      <c r="D14" s="318"/>
      <c r="E14" s="318"/>
      <c r="F14" s="318"/>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7"/>
      <c r="AN14" s="318"/>
      <c r="AO14" s="317"/>
      <c r="AP14" s="317"/>
      <c r="AQ14" s="317"/>
      <c r="AR14" s="317"/>
      <c r="AS14" s="317"/>
      <c r="AT14" s="317"/>
      <c r="AU14" s="318"/>
      <c r="AV14" s="318"/>
      <c r="AW14" s="318"/>
      <c r="AX14" s="318"/>
      <c r="AY14" s="318"/>
      <c r="AZ14" s="318"/>
      <c r="BA14" s="318"/>
      <c r="BB14" s="318"/>
      <c r="BC14" s="318"/>
      <c r="BD14" s="318"/>
      <c r="BE14" s="318"/>
      <c r="BF14" s="318"/>
      <c r="BG14" s="318"/>
      <c r="BH14" s="333"/>
      <c r="BI14" s="333"/>
      <c r="BJ14" s="333"/>
      <c r="BK14" s="333"/>
      <c r="BL14" s="333"/>
      <c r="BM14" s="333"/>
      <c r="BN14" s="333"/>
      <c r="BO14" s="333"/>
      <c r="BP14" s="333"/>
      <c r="BQ14" s="333"/>
      <c r="BR14" s="333"/>
      <c r="BS14" s="333"/>
      <c r="BT14" s="334"/>
      <c r="BU14" s="335"/>
      <c r="BV14" s="346"/>
      <c r="BY14" s="376" t="str">
        <f>'GRC and TUL Assumptions'!A14</f>
        <v>Services Water</v>
      </c>
      <c r="BZ14" s="373">
        <f>'GRC and TUL Assumptions'!C14</f>
        <v>20</v>
      </c>
      <c r="CA14" s="373">
        <f>'GRC and TUL Assumptions'!D14</f>
        <v>40</v>
      </c>
      <c r="CB14" s="373">
        <f>'GRC and TUL Assumptions'!E14</f>
        <v>70</v>
      </c>
      <c r="CC14" s="373">
        <v>0</v>
      </c>
      <c r="CD14" s="373">
        <f>'GRC and TUL Assumptions'!F14</f>
        <v>20</v>
      </c>
      <c r="CE14" s="373">
        <f>'GRC and TUL Assumptions'!G14</f>
        <v>30</v>
      </c>
      <c r="CF14" s="373">
        <f>'GRC and TUL Assumptions'!H14</f>
        <v>40</v>
      </c>
      <c r="CG14" s="373">
        <f t="shared" si="12"/>
        <v>20</v>
      </c>
      <c r="CH14" s="378" t="e">
        <f t="shared" si="13"/>
        <v>#N/A</v>
      </c>
      <c r="CI14" s="378" t="e">
        <f t="shared" si="14"/>
        <v>#N/A</v>
      </c>
      <c r="CJ14" s="378" t="e">
        <f t="shared" si="15"/>
        <v>#N/A</v>
      </c>
      <c r="CK14" s="378" t="e">
        <f t="shared" si="16"/>
        <v>#N/A</v>
      </c>
      <c r="CL14" s="378" t="e">
        <f t="shared" si="17"/>
        <v>#N/A</v>
      </c>
      <c r="CM14" s="378" t="e">
        <f t="shared" si="18"/>
        <v>#N/A</v>
      </c>
      <c r="CN14" s="378" t="e">
        <f t="shared" si="19"/>
        <v>#N/A</v>
      </c>
      <c r="CO14" s="378" t="e">
        <f t="shared" si="20"/>
        <v>#N/A</v>
      </c>
      <c r="CP14" s="378" t="e">
        <f t="shared" si="21"/>
        <v>#N/A</v>
      </c>
      <c r="CQ14" s="378" t="e">
        <f t="shared" si="22"/>
        <v>#N/A</v>
      </c>
      <c r="CR14" s="354" t="e">
        <f t="shared" si="23"/>
        <v>#N/A</v>
      </c>
      <c r="CS14" s="379" t="e">
        <f>(HLOOKUP($AI14,'Inflation Adjustments'!$B$3:$BT$4,2,TRUE))*CH14</f>
        <v>#N/A</v>
      </c>
      <c r="CT14" s="379" t="e">
        <f>(HLOOKUP($AI14,'Inflation Adjustments'!$B$3:$BT$4,2,TRUE))*CI14</f>
        <v>#N/A</v>
      </c>
      <c r="CU14" s="379" t="e">
        <f>(HLOOKUP($AI14,'Inflation Adjustments'!$B$3:$BT$4,2,TRUE))*CJ14</f>
        <v>#N/A</v>
      </c>
      <c r="CV14" s="379" t="e">
        <f>(HLOOKUP($AI14,'Inflation Adjustments'!$B$3:$BT$4,2,TRUE))*CK14</f>
        <v>#N/A</v>
      </c>
      <c r="CW14" s="379" t="e">
        <f>(HLOOKUP($AI14,'Inflation Adjustments'!$B$3:$BT$4,2,TRUE))*CL14</f>
        <v>#N/A</v>
      </c>
      <c r="CX14" s="379" t="e">
        <f>(HLOOKUP($AI14,'Inflation Adjustments'!$B$3:$BT$4,2,TRUE))*CM14</f>
        <v>#N/A</v>
      </c>
      <c r="CY14" s="379" t="e">
        <f>(HLOOKUP($AI14,'Inflation Adjustments'!$B$3:$BT$4,2,TRUE))*CN14</f>
        <v>#N/A</v>
      </c>
      <c r="CZ14" s="379" t="e">
        <f>(HLOOKUP($AI14,'Inflation Adjustments'!$B$3:$BT$4,2,TRUE))*CO14</f>
        <v>#N/A</v>
      </c>
      <c r="DA14" s="379" t="e">
        <f>(HLOOKUP($AI14,'Inflation Adjustments'!$B$3:$BT$4,2,TRUE))*CP14</f>
        <v>#N/A</v>
      </c>
      <c r="DB14" s="379" t="e">
        <f>(HLOOKUP($AI14,'Inflation Adjustments'!$B$3:$BT$4,2,TRUE))*CQ14</f>
        <v>#N/A</v>
      </c>
      <c r="DC14" s="379" t="e">
        <f t="shared" si="24"/>
        <v>#N/A</v>
      </c>
      <c r="DD14" s="354">
        <f t="shared" si="25"/>
        <v>2022</v>
      </c>
      <c r="DE14" s="378" t="e">
        <f t="shared" si="26"/>
        <v>#N/A</v>
      </c>
      <c r="DF14" s="378" t="e">
        <f t="shared" si="27"/>
        <v>#N/A</v>
      </c>
      <c r="DG14" s="378" t="e">
        <f t="shared" si="28"/>
        <v>#N/A</v>
      </c>
      <c r="DH14" s="378" t="e">
        <f t="shared" si="29"/>
        <v>#N/A</v>
      </c>
      <c r="DI14" s="378" t="e">
        <f t="shared" si="30"/>
        <v>#N/A</v>
      </c>
      <c r="DJ14" s="378" t="e">
        <f t="shared" si="31"/>
        <v>#N/A</v>
      </c>
      <c r="DK14" s="378" t="e">
        <f t="shared" si="32"/>
        <v>#N/A</v>
      </c>
      <c r="DL14" s="378" t="e">
        <f t="shared" si="32"/>
        <v>#N/A</v>
      </c>
      <c r="DM14" s="378" t="e">
        <f t="shared" si="33"/>
        <v>#N/A</v>
      </c>
      <c r="DN14" s="378" t="e">
        <f t="shared" si="34"/>
        <v>#N/A</v>
      </c>
      <c r="DO14" s="380" t="e">
        <f t="shared" si="35"/>
        <v>#N/A</v>
      </c>
      <c r="DP14" s="380" t="e">
        <f t="shared" si="36"/>
        <v>#N/A</v>
      </c>
      <c r="DQ14" s="380" t="e">
        <f t="shared" si="36"/>
        <v>#N/A</v>
      </c>
      <c r="DR14" s="380" t="e">
        <f t="shared" si="36"/>
        <v>#N/A</v>
      </c>
      <c r="DS14" s="380" t="e">
        <f t="shared" si="36"/>
        <v>#N/A</v>
      </c>
      <c r="DT14" s="380" t="e">
        <f t="shared" si="36"/>
        <v>#N/A</v>
      </c>
      <c r="DU14" s="380" t="e">
        <f t="shared" si="36"/>
        <v>#N/A</v>
      </c>
      <c r="DV14" s="380" t="e">
        <f t="shared" si="36"/>
        <v>#N/A</v>
      </c>
      <c r="DW14" s="380" t="e">
        <f t="shared" si="36"/>
        <v>#N/A</v>
      </c>
      <c r="DX14" s="380" t="e">
        <f t="shared" si="36"/>
        <v>#N/A</v>
      </c>
      <c r="DY14" s="380" t="e">
        <f t="shared" si="37"/>
        <v>#N/A</v>
      </c>
      <c r="DZ14" s="378" t="e">
        <f t="shared" si="38"/>
        <v>#N/A</v>
      </c>
      <c r="EA14" s="378" t="e">
        <f t="shared" si="39"/>
        <v>#N/A</v>
      </c>
      <c r="EB14" s="378" t="e">
        <f t="shared" si="39"/>
        <v>#N/A</v>
      </c>
      <c r="EC14" s="378" t="e">
        <f t="shared" si="39"/>
        <v>#N/A</v>
      </c>
      <c r="ED14" s="378" t="e">
        <f t="shared" si="39"/>
        <v>#N/A</v>
      </c>
      <c r="EE14" s="378" t="e">
        <f t="shared" si="39"/>
        <v>#N/A</v>
      </c>
      <c r="EF14" s="378" t="e">
        <f t="shared" si="39"/>
        <v>#N/A</v>
      </c>
      <c r="EG14" s="378" t="e">
        <f t="shared" si="39"/>
        <v>#N/A</v>
      </c>
      <c r="EH14" s="378" t="e">
        <f t="shared" si="39"/>
        <v>#N/A</v>
      </c>
      <c r="EI14" s="378" t="e">
        <f t="shared" si="39"/>
        <v>#N/A</v>
      </c>
      <c r="EJ14" s="354" t="e">
        <f t="shared" si="40"/>
        <v>#N/A</v>
      </c>
      <c r="EK14" s="380" t="e">
        <f t="shared" si="41"/>
        <v>#N/A</v>
      </c>
      <c r="EL14" s="380" t="e">
        <f t="shared" si="42"/>
        <v>#N/A</v>
      </c>
      <c r="EM14" s="380" t="e">
        <f t="shared" si="42"/>
        <v>#N/A</v>
      </c>
      <c r="EN14" s="380" t="e">
        <f t="shared" si="42"/>
        <v>#N/A</v>
      </c>
      <c r="EO14" s="380" t="e">
        <f t="shared" si="42"/>
        <v>#N/A</v>
      </c>
      <c r="EP14" s="380" t="e">
        <f t="shared" si="42"/>
        <v>#N/A</v>
      </c>
      <c r="EQ14" s="380" t="e">
        <f t="shared" si="42"/>
        <v>#N/A</v>
      </c>
      <c r="ER14" s="380" t="e">
        <f t="shared" si="42"/>
        <v>#N/A</v>
      </c>
      <c r="ES14" s="380" t="e">
        <f t="shared" si="42"/>
        <v>#N/A</v>
      </c>
      <c r="ET14" s="380" t="e">
        <f t="shared" si="42"/>
        <v>#N/A</v>
      </c>
      <c r="EU14" s="379" t="e">
        <f t="shared" si="43"/>
        <v>#N/A</v>
      </c>
      <c r="EV14" s="381"/>
      <c r="EW14" s="382"/>
      <c r="EX14" s="382"/>
      <c r="EY14" s="382"/>
      <c r="EZ14" s="382"/>
      <c r="FA14" s="382"/>
      <c r="FB14" s="382"/>
      <c r="FD14" s="91" t="s">
        <v>1655</v>
      </c>
      <c r="FE14" s="583"/>
      <c r="FF14" s="583"/>
      <c r="FG14" s="583"/>
      <c r="FH14" s="583"/>
      <c r="FI14" s="583" t="s">
        <v>1654</v>
      </c>
    </row>
    <row r="15" spans="1:165" ht="35" customHeight="1" x14ac:dyDescent="0.3">
      <c r="A15" s="330"/>
      <c r="B15" s="318"/>
      <c r="C15" s="318"/>
      <c r="D15" s="318"/>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7"/>
      <c r="AN15" s="318"/>
      <c r="AO15" s="317"/>
      <c r="AP15" s="317"/>
      <c r="AQ15" s="317"/>
      <c r="AR15" s="317"/>
      <c r="AS15" s="317"/>
      <c r="AT15" s="317"/>
      <c r="AU15" s="318"/>
      <c r="AV15" s="318"/>
      <c r="AW15" s="318"/>
      <c r="AX15" s="318"/>
      <c r="AY15" s="318"/>
      <c r="AZ15" s="318"/>
      <c r="BA15" s="318"/>
      <c r="BB15" s="318"/>
      <c r="BC15" s="318"/>
      <c r="BD15" s="318"/>
      <c r="BE15" s="318"/>
      <c r="BF15" s="318"/>
      <c r="BG15" s="318"/>
      <c r="BH15" s="333"/>
      <c r="BI15" s="333"/>
      <c r="BJ15" s="333"/>
      <c r="BK15" s="333"/>
      <c r="BL15" s="333"/>
      <c r="BM15" s="333"/>
      <c r="BN15" s="333"/>
      <c r="BO15" s="333"/>
      <c r="BP15" s="333"/>
      <c r="BQ15" s="333"/>
      <c r="BR15" s="333"/>
      <c r="BS15" s="333"/>
      <c r="BT15" s="334"/>
      <c r="BU15" s="335"/>
      <c r="BV15" s="346"/>
      <c r="BY15" s="376"/>
      <c r="BZ15" s="373"/>
      <c r="CA15" s="373"/>
      <c r="CB15" s="373"/>
      <c r="CC15" s="373"/>
      <c r="CD15" s="373"/>
      <c r="CE15" s="373"/>
      <c r="CF15" s="373"/>
      <c r="CG15" s="373"/>
      <c r="CH15" s="378" t="e">
        <f t="shared" si="13"/>
        <v>#N/A</v>
      </c>
      <c r="CI15" s="378" t="e">
        <f t="shared" si="14"/>
        <v>#N/A</v>
      </c>
      <c r="CJ15" s="378" t="e">
        <f t="shared" si="15"/>
        <v>#N/A</v>
      </c>
      <c r="CK15" s="378" t="e">
        <f t="shared" si="16"/>
        <v>#N/A</v>
      </c>
      <c r="CL15" s="378" t="e">
        <f t="shared" si="17"/>
        <v>#N/A</v>
      </c>
      <c r="CM15" s="378" t="e">
        <f t="shared" si="18"/>
        <v>#N/A</v>
      </c>
      <c r="CN15" s="378" t="e">
        <f t="shared" si="19"/>
        <v>#N/A</v>
      </c>
      <c r="CO15" s="378" t="e">
        <f t="shared" si="20"/>
        <v>#N/A</v>
      </c>
      <c r="CP15" s="378" t="e">
        <f t="shared" si="21"/>
        <v>#N/A</v>
      </c>
      <c r="CQ15" s="378" t="e">
        <f t="shared" si="22"/>
        <v>#N/A</v>
      </c>
      <c r="CR15" s="354" t="e">
        <f t="shared" si="23"/>
        <v>#N/A</v>
      </c>
      <c r="CS15" s="379" t="e">
        <f>(HLOOKUP($AI15,'Inflation Adjustments'!$B$3:$BT$4,2,TRUE))*CH15</f>
        <v>#N/A</v>
      </c>
      <c r="CT15" s="379" t="e">
        <f>(HLOOKUP($AI15,'Inflation Adjustments'!$B$3:$BT$4,2,TRUE))*CI15</f>
        <v>#N/A</v>
      </c>
      <c r="CU15" s="379" t="e">
        <f>(HLOOKUP($AI15,'Inflation Adjustments'!$B$3:$BT$4,2,TRUE))*CJ15</f>
        <v>#N/A</v>
      </c>
      <c r="CV15" s="379" t="e">
        <f>(HLOOKUP($AI15,'Inflation Adjustments'!$B$3:$BT$4,2,TRUE))*CK15</f>
        <v>#N/A</v>
      </c>
      <c r="CW15" s="379" t="e">
        <f>(HLOOKUP($AI15,'Inflation Adjustments'!$B$3:$BT$4,2,TRUE))*CL15</f>
        <v>#N/A</v>
      </c>
      <c r="CX15" s="379" t="e">
        <f>(HLOOKUP($AI15,'Inflation Adjustments'!$B$3:$BT$4,2,TRUE))*CM15</f>
        <v>#N/A</v>
      </c>
      <c r="CY15" s="379" t="e">
        <f>(HLOOKUP($AI15,'Inflation Adjustments'!$B$3:$BT$4,2,TRUE))*CN15</f>
        <v>#N/A</v>
      </c>
      <c r="CZ15" s="379" t="e">
        <f>(HLOOKUP($AI15,'Inflation Adjustments'!$B$3:$BT$4,2,TRUE))*CO15</f>
        <v>#N/A</v>
      </c>
      <c r="DA15" s="379" t="e">
        <f>(HLOOKUP($AI15,'Inflation Adjustments'!$B$3:$BT$4,2,TRUE))*CP15</f>
        <v>#N/A</v>
      </c>
      <c r="DB15" s="379" t="e">
        <f>(HLOOKUP($AI15,'Inflation Adjustments'!$B$3:$BT$4,2,TRUE))*CQ15</f>
        <v>#N/A</v>
      </c>
      <c r="DC15" s="379" t="e">
        <f t="shared" si="24"/>
        <v>#N/A</v>
      </c>
      <c r="DD15" s="354">
        <f t="shared" si="25"/>
        <v>2022</v>
      </c>
      <c r="DE15" s="378" t="e">
        <f t="shared" si="26"/>
        <v>#N/A</v>
      </c>
      <c r="DF15" s="378" t="e">
        <f t="shared" si="27"/>
        <v>#N/A</v>
      </c>
      <c r="DG15" s="378" t="e">
        <f t="shared" si="28"/>
        <v>#N/A</v>
      </c>
      <c r="DH15" s="378" t="e">
        <f t="shared" si="29"/>
        <v>#N/A</v>
      </c>
      <c r="DI15" s="378" t="e">
        <f t="shared" si="30"/>
        <v>#N/A</v>
      </c>
      <c r="DJ15" s="378" t="e">
        <f t="shared" si="31"/>
        <v>#N/A</v>
      </c>
      <c r="DK15" s="378" t="e">
        <f t="shared" si="32"/>
        <v>#N/A</v>
      </c>
      <c r="DL15" s="378" t="e">
        <f t="shared" si="32"/>
        <v>#N/A</v>
      </c>
      <c r="DM15" s="378" t="e">
        <f t="shared" si="33"/>
        <v>#N/A</v>
      </c>
      <c r="DN15" s="378" t="e">
        <f t="shared" si="34"/>
        <v>#N/A</v>
      </c>
      <c r="DO15" s="380" t="e">
        <f t="shared" si="35"/>
        <v>#N/A</v>
      </c>
      <c r="DP15" s="380" t="e">
        <f t="shared" si="36"/>
        <v>#N/A</v>
      </c>
      <c r="DQ15" s="380" t="e">
        <f t="shared" si="36"/>
        <v>#N/A</v>
      </c>
      <c r="DR15" s="380" t="e">
        <f t="shared" si="36"/>
        <v>#N/A</v>
      </c>
      <c r="DS15" s="380" t="e">
        <f t="shared" si="36"/>
        <v>#N/A</v>
      </c>
      <c r="DT15" s="380" t="e">
        <f t="shared" si="36"/>
        <v>#N/A</v>
      </c>
      <c r="DU15" s="380" t="e">
        <f t="shared" si="36"/>
        <v>#N/A</v>
      </c>
      <c r="DV15" s="380" t="e">
        <f t="shared" si="36"/>
        <v>#N/A</v>
      </c>
      <c r="DW15" s="380" t="e">
        <f t="shared" si="36"/>
        <v>#N/A</v>
      </c>
      <c r="DX15" s="380" t="e">
        <f t="shared" si="36"/>
        <v>#N/A</v>
      </c>
      <c r="DY15" s="380" t="e">
        <f t="shared" si="37"/>
        <v>#N/A</v>
      </c>
      <c r="DZ15" s="378" t="e">
        <f t="shared" si="38"/>
        <v>#N/A</v>
      </c>
      <c r="EA15" s="378" t="e">
        <f t="shared" si="39"/>
        <v>#N/A</v>
      </c>
      <c r="EB15" s="378" t="e">
        <f t="shared" si="39"/>
        <v>#N/A</v>
      </c>
      <c r="EC15" s="378" t="e">
        <f t="shared" si="39"/>
        <v>#N/A</v>
      </c>
      <c r="ED15" s="378" t="e">
        <f t="shared" si="39"/>
        <v>#N/A</v>
      </c>
      <c r="EE15" s="378" t="e">
        <f t="shared" si="39"/>
        <v>#N/A</v>
      </c>
      <c r="EF15" s="378" t="e">
        <f t="shared" si="39"/>
        <v>#N/A</v>
      </c>
      <c r="EG15" s="378" t="e">
        <f t="shared" si="39"/>
        <v>#N/A</v>
      </c>
      <c r="EH15" s="378" t="e">
        <f t="shared" si="39"/>
        <v>#N/A</v>
      </c>
      <c r="EI15" s="378" t="e">
        <f t="shared" si="39"/>
        <v>#N/A</v>
      </c>
      <c r="EJ15" s="354" t="e">
        <f t="shared" si="40"/>
        <v>#N/A</v>
      </c>
      <c r="EK15" s="380" t="e">
        <f t="shared" si="41"/>
        <v>#N/A</v>
      </c>
      <c r="EL15" s="380" t="e">
        <f t="shared" si="42"/>
        <v>#N/A</v>
      </c>
      <c r="EM15" s="380" t="e">
        <f t="shared" si="42"/>
        <v>#N/A</v>
      </c>
      <c r="EN15" s="380" t="e">
        <f t="shared" si="42"/>
        <v>#N/A</v>
      </c>
      <c r="EO15" s="380" t="e">
        <f t="shared" si="42"/>
        <v>#N/A</v>
      </c>
      <c r="EP15" s="380" t="e">
        <f t="shared" si="42"/>
        <v>#N/A</v>
      </c>
      <c r="EQ15" s="380" t="e">
        <f t="shared" si="42"/>
        <v>#N/A</v>
      </c>
      <c r="ER15" s="380" t="e">
        <f t="shared" si="42"/>
        <v>#N/A</v>
      </c>
      <c r="ES15" s="380" t="e">
        <f t="shared" si="42"/>
        <v>#N/A</v>
      </c>
      <c r="ET15" s="380" t="e">
        <f t="shared" si="42"/>
        <v>#N/A</v>
      </c>
      <c r="EU15" s="379" t="e">
        <f t="shared" si="43"/>
        <v>#N/A</v>
      </c>
      <c r="EV15" s="381"/>
      <c r="EW15" s="382"/>
      <c r="EX15" s="382"/>
      <c r="EY15" s="382"/>
      <c r="EZ15" s="382"/>
      <c r="FA15" s="382"/>
      <c r="FB15" s="382"/>
      <c r="FD15" s="91" t="s">
        <v>1656</v>
      </c>
      <c r="FE15" s="583"/>
      <c r="FF15" s="583"/>
      <c r="FG15" s="583"/>
      <c r="FH15" s="583"/>
      <c r="FI15" s="583"/>
    </row>
    <row r="16" spans="1:165" ht="35" customHeight="1" x14ac:dyDescent="0.3">
      <c r="A16" s="330"/>
      <c r="B16" s="318"/>
      <c r="C16" s="318"/>
      <c r="D16" s="318"/>
      <c r="E16" s="318"/>
      <c r="F16" s="318"/>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18"/>
      <c r="AM16" s="317"/>
      <c r="AN16" s="318"/>
      <c r="AO16" s="317"/>
      <c r="AP16" s="317"/>
      <c r="AQ16" s="317"/>
      <c r="AR16" s="317"/>
      <c r="AS16" s="317"/>
      <c r="AT16" s="317"/>
      <c r="AU16" s="318"/>
      <c r="AV16" s="318"/>
      <c r="AW16" s="318"/>
      <c r="AX16" s="318"/>
      <c r="AY16" s="318"/>
      <c r="AZ16" s="318"/>
      <c r="BA16" s="318"/>
      <c r="BB16" s="318"/>
      <c r="BC16" s="318"/>
      <c r="BD16" s="318"/>
      <c r="BE16" s="318"/>
      <c r="BF16" s="318"/>
      <c r="BG16" s="318"/>
      <c r="BH16" s="333"/>
      <c r="BI16" s="333"/>
      <c r="BJ16" s="333"/>
      <c r="BK16" s="333"/>
      <c r="BL16" s="333"/>
      <c r="BM16" s="333"/>
      <c r="BN16" s="333"/>
      <c r="BO16" s="333"/>
      <c r="BP16" s="333"/>
      <c r="BQ16" s="333"/>
      <c r="BR16" s="333"/>
      <c r="BS16" s="333"/>
      <c r="BT16" s="334"/>
      <c r="BU16" s="335"/>
      <c r="BV16" s="346"/>
      <c r="BY16" s="376"/>
      <c r="BZ16" s="373"/>
      <c r="CA16" s="373"/>
      <c r="CB16" s="373"/>
      <c r="CC16" s="373"/>
      <c r="CD16" s="373"/>
      <c r="CE16" s="373"/>
      <c r="CF16" s="373"/>
      <c r="CG16" s="373"/>
      <c r="CH16" s="378" t="e">
        <f t="shared" si="13"/>
        <v>#N/A</v>
      </c>
      <c r="CI16" s="378" t="e">
        <f t="shared" si="14"/>
        <v>#N/A</v>
      </c>
      <c r="CJ16" s="378" t="e">
        <f t="shared" si="15"/>
        <v>#N/A</v>
      </c>
      <c r="CK16" s="378" t="e">
        <f t="shared" si="16"/>
        <v>#N/A</v>
      </c>
      <c r="CL16" s="378" t="e">
        <f t="shared" si="17"/>
        <v>#N/A</v>
      </c>
      <c r="CM16" s="378" t="e">
        <f t="shared" si="18"/>
        <v>#N/A</v>
      </c>
      <c r="CN16" s="378" t="e">
        <f t="shared" si="19"/>
        <v>#N/A</v>
      </c>
      <c r="CO16" s="378" t="e">
        <f t="shared" si="20"/>
        <v>#N/A</v>
      </c>
      <c r="CP16" s="378" t="e">
        <f t="shared" si="21"/>
        <v>#N/A</v>
      </c>
      <c r="CQ16" s="378" t="e">
        <f t="shared" si="22"/>
        <v>#N/A</v>
      </c>
      <c r="CR16" s="354" t="e">
        <f t="shared" si="23"/>
        <v>#N/A</v>
      </c>
      <c r="CS16" s="379" t="e">
        <f>(HLOOKUP($AI16,'Inflation Adjustments'!$B$3:$BT$4,2,TRUE))*CH16</f>
        <v>#N/A</v>
      </c>
      <c r="CT16" s="379" t="e">
        <f>(HLOOKUP($AI16,'Inflation Adjustments'!$B$3:$BT$4,2,TRUE))*CI16</f>
        <v>#N/A</v>
      </c>
      <c r="CU16" s="379" t="e">
        <f>(HLOOKUP($AI16,'Inflation Adjustments'!$B$3:$BT$4,2,TRUE))*CJ16</f>
        <v>#N/A</v>
      </c>
      <c r="CV16" s="379" t="e">
        <f>(HLOOKUP($AI16,'Inflation Adjustments'!$B$3:$BT$4,2,TRUE))*CK16</f>
        <v>#N/A</v>
      </c>
      <c r="CW16" s="379" t="e">
        <f>(HLOOKUP($AI16,'Inflation Adjustments'!$B$3:$BT$4,2,TRUE))*CL16</f>
        <v>#N/A</v>
      </c>
      <c r="CX16" s="379" t="e">
        <f>(HLOOKUP($AI16,'Inflation Adjustments'!$B$3:$BT$4,2,TRUE))*CM16</f>
        <v>#N/A</v>
      </c>
      <c r="CY16" s="379" t="e">
        <f>(HLOOKUP($AI16,'Inflation Adjustments'!$B$3:$BT$4,2,TRUE))*CN16</f>
        <v>#N/A</v>
      </c>
      <c r="CZ16" s="379" t="e">
        <f>(HLOOKUP($AI16,'Inflation Adjustments'!$B$3:$BT$4,2,TRUE))*CO16</f>
        <v>#N/A</v>
      </c>
      <c r="DA16" s="379" t="e">
        <f>(HLOOKUP($AI16,'Inflation Adjustments'!$B$3:$BT$4,2,TRUE))*CP16</f>
        <v>#N/A</v>
      </c>
      <c r="DB16" s="379" t="e">
        <f>(HLOOKUP($AI16,'Inflation Adjustments'!$B$3:$BT$4,2,TRUE))*CQ16</f>
        <v>#N/A</v>
      </c>
      <c r="DC16" s="379" t="e">
        <f t="shared" si="24"/>
        <v>#N/A</v>
      </c>
      <c r="DD16" s="354">
        <f t="shared" si="25"/>
        <v>2022</v>
      </c>
      <c r="DE16" s="378" t="e">
        <f t="shared" si="26"/>
        <v>#N/A</v>
      </c>
      <c r="DF16" s="378" t="e">
        <f t="shared" si="27"/>
        <v>#N/A</v>
      </c>
      <c r="DG16" s="378" t="e">
        <f t="shared" si="28"/>
        <v>#N/A</v>
      </c>
      <c r="DH16" s="378" t="e">
        <f t="shared" si="29"/>
        <v>#N/A</v>
      </c>
      <c r="DI16" s="378" t="e">
        <f t="shared" si="30"/>
        <v>#N/A</v>
      </c>
      <c r="DJ16" s="378" t="e">
        <f t="shared" si="31"/>
        <v>#N/A</v>
      </c>
      <c r="DK16" s="378" t="e">
        <f t="shared" si="32"/>
        <v>#N/A</v>
      </c>
      <c r="DL16" s="378" t="e">
        <f t="shared" si="32"/>
        <v>#N/A</v>
      </c>
      <c r="DM16" s="378" t="e">
        <f t="shared" si="33"/>
        <v>#N/A</v>
      </c>
      <c r="DN16" s="378" t="e">
        <f t="shared" si="34"/>
        <v>#N/A</v>
      </c>
      <c r="DO16" s="380" t="e">
        <f t="shared" si="35"/>
        <v>#N/A</v>
      </c>
      <c r="DP16" s="380" t="e">
        <f t="shared" si="36"/>
        <v>#N/A</v>
      </c>
      <c r="DQ16" s="380" t="e">
        <f t="shared" si="36"/>
        <v>#N/A</v>
      </c>
      <c r="DR16" s="380" t="e">
        <f t="shared" si="36"/>
        <v>#N/A</v>
      </c>
      <c r="DS16" s="380" t="e">
        <f t="shared" si="36"/>
        <v>#N/A</v>
      </c>
      <c r="DT16" s="380" t="e">
        <f t="shared" si="36"/>
        <v>#N/A</v>
      </c>
      <c r="DU16" s="380" t="e">
        <f t="shared" si="36"/>
        <v>#N/A</v>
      </c>
      <c r="DV16" s="380" t="e">
        <f t="shared" si="36"/>
        <v>#N/A</v>
      </c>
      <c r="DW16" s="380" t="e">
        <f t="shared" si="36"/>
        <v>#N/A</v>
      </c>
      <c r="DX16" s="380" t="e">
        <f t="shared" si="36"/>
        <v>#N/A</v>
      </c>
      <c r="DY16" s="380" t="e">
        <f t="shared" si="37"/>
        <v>#N/A</v>
      </c>
      <c r="DZ16" s="378" t="e">
        <f t="shared" si="38"/>
        <v>#N/A</v>
      </c>
      <c r="EA16" s="378" t="e">
        <f t="shared" si="39"/>
        <v>#N/A</v>
      </c>
      <c r="EB16" s="378" t="e">
        <f t="shared" si="39"/>
        <v>#N/A</v>
      </c>
      <c r="EC16" s="378" t="e">
        <f t="shared" si="39"/>
        <v>#N/A</v>
      </c>
      <c r="ED16" s="378" t="e">
        <f t="shared" si="39"/>
        <v>#N/A</v>
      </c>
      <c r="EE16" s="378" t="e">
        <f t="shared" si="39"/>
        <v>#N/A</v>
      </c>
      <c r="EF16" s="378" t="e">
        <f t="shared" si="39"/>
        <v>#N/A</v>
      </c>
      <c r="EG16" s="378" t="e">
        <f t="shared" si="39"/>
        <v>#N/A</v>
      </c>
      <c r="EH16" s="378" t="e">
        <f t="shared" si="39"/>
        <v>#N/A</v>
      </c>
      <c r="EI16" s="378" t="e">
        <f t="shared" si="39"/>
        <v>#N/A</v>
      </c>
      <c r="EJ16" s="354" t="e">
        <f t="shared" si="40"/>
        <v>#N/A</v>
      </c>
      <c r="EK16" s="380" t="e">
        <f t="shared" si="41"/>
        <v>#N/A</v>
      </c>
      <c r="EL16" s="380" t="e">
        <f t="shared" si="42"/>
        <v>#N/A</v>
      </c>
      <c r="EM16" s="380" t="e">
        <f t="shared" si="42"/>
        <v>#N/A</v>
      </c>
      <c r="EN16" s="380" t="e">
        <f t="shared" si="42"/>
        <v>#N/A</v>
      </c>
      <c r="EO16" s="380" t="e">
        <f t="shared" si="42"/>
        <v>#N/A</v>
      </c>
      <c r="EP16" s="380" t="e">
        <f t="shared" si="42"/>
        <v>#N/A</v>
      </c>
      <c r="EQ16" s="380" t="e">
        <f t="shared" si="42"/>
        <v>#N/A</v>
      </c>
      <c r="ER16" s="380" t="e">
        <f t="shared" si="42"/>
        <v>#N/A</v>
      </c>
      <c r="ES16" s="380" t="e">
        <f t="shared" si="42"/>
        <v>#N/A</v>
      </c>
      <c r="ET16" s="380" t="e">
        <f t="shared" si="42"/>
        <v>#N/A</v>
      </c>
      <c r="EU16" s="379" t="e">
        <f t="shared" si="43"/>
        <v>#N/A</v>
      </c>
      <c r="EV16" s="381"/>
      <c r="EW16" s="382"/>
      <c r="EX16" s="382"/>
      <c r="EY16" s="382"/>
      <c r="EZ16" s="382"/>
      <c r="FA16" s="382"/>
      <c r="FB16" s="382"/>
      <c r="FD16" s="91" t="s">
        <v>1662</v>
      </c>
      <c r="FE16" s="583"/>
      <c r="FF16" s="583"/>
      <c r="FG16" s="583"/>
      <c r="FH16" s="583"/>
      <c r="FI16" s="583"/>
    </row>
    <row r="17" spans="1:165" ht="35" customHeight="1" x14ac:dyDescent="0.3">
      <c r="A17" s="330"/>
      <c r="B17" s="318"/>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7"/>
      <c r="AN17" s="318"/>
      <c r="AO17" s="317"/>
      <c r="AP17" s="317"/>
      <c r="AQ17" s="317"/>
      <c r="AR17" s="317"/>
      <c r="AS17" s="317"/>
      <c r="AT17" s="317"/>
      <c r="AU17" s="318"/>
      <c r="AV17" s="318"/>
      <c r="AW17" s="318"/>
      <c r="AX17" s="318"/>
      <c r="AY17" s="318"/>
      <c r="AZ17" s="318"/>
      <c r="BA17" s="318"/>
      <c r="BB17" s="318"/>
      <c r="BC17" s="318"/>
      <c r="BD17" s="318"/>
      <c r="BE17" s="318"/>
      <c r="BF17" s="318"/>
      <c r="BG17" s="318"/>
      <c r="BH17" s="333"/>
      <c r="BI17" s="333"/>
      <c r="BJ17" s="333"/>
      <c r="BK17" s="333"/>
      <c r="BL17" s="333"/>
      <c r="BM17" s="333"/>
      <c r="BN17" s="333"/>
      <c r="BO17" s="333"/>
      <c r="BP17" s="333"/>
      <c r="BQ17" s="333"/>
      <c r="BR17" s="333"/>
      <c r="BS17" s="333"/>
      <c r="BT17" s="334"/>
      <c r="BU17" s="335"/>
      <c r="BV17" s="346"/>
      <c r="BY17" s="376"/>
      <c r="BZ17" s="373"/>
      <c r="CA17" s="373"/>
      <c r="CB17" s="373"/>
      <c r="CC17" s="373"/>
      <c r="CD17" s="373"/>
      <c r="CE17" s="373"/>
      <c r="CF17" s="373"/>
      <c r="CG17" s="373"/>
      <c r="CH17" s="378" t="e">
        <f t="shared" si="13"/>
        <v>#N/A</v>
      </c>
      <c r="CI17" s="378" t="e">
        <f t="shared" si="14"/>
        <v>#N/A</v>
      </c>
      <c r="CJ17" s="378" t="e">
        <f t="shared" si="15"/>
        <v>#N/A</v>
      </c>
      <c r="CK17" s="378" t="e">
        <f t="shared" si="16"/>
        <v>#N/A</v>
      </c>
      <c r="CL17" s="378" t="e">
        <f t="shared" si="17"/>
        <v>#N/A</v>
      </c>
      <c r="CM17" s="378" t="e">
        <f t="shared" si="18"/>
        <v>#N/A</v>
      </c>
      <c r="CN17" s="378" t="e">
        <f t="shared" si="19"/>
        <v>#N/A</v>
      </c>
      <c r="CO17" s="378" t="e">
        <f t="shared" si="20"/>
        <v>#N/A</v>
      </c>
      <c r="CP17" s="378" t="e">
        <f t="shared" si="21"/>
        <v>#N/A</v>
      </c>
      <c r="CQ17" s="378" t="e">
        <f t="shared" si="22"/>
        <v>#N/A</v>
      </c>
      <c r="CR17" s="354" t="e">
        <f t="shared" si="23"/>
        <v>#N/A</v>
      </c>
      <c r="CS17" s="379" t="e">
        <f>(HLOOKUP($AI17,'Inflation Adjustments'!$B$3:$BT$4,2,TRUE))*CH17</f>
        <v>#N/A</v>
      </c>
      <c r="CT17" s="379" t="e">
        <f>(HLOOKUP($AI17,'Inflation Adjustments'!$B$3:$BT$4,2,TRUE))*CI17</f>
        <v>#N/A</v>
      </c>
      <c r="CU17" s="379" t="e">
        <f>(HLOOKUP($AI17,'Inflation Adjustments'!$B$3:$BT$4,2,TRUE))*CJ17</f>
        <v>#N/A</v>
      </c>
      <c r="CV17" s="379" t="e">
        <f>(HLOOKUP($AI17,'Inflation Adjustments'!$B$3:$BT$4,2,TRUE))*CK17</f>
        <v>#N/A</v>
      </c>
      <c r="CW17" s="379" t="e">
        <f>(HLOOKUP($AI17,'Inflation Adjustments'!$B$3:$BT$4,2,TRUE))*CL17</f>
        <v>#N/A</v>
      </c>
      <c r="CX17" s="379" t="e">
        <f>(HLOOKUP($AI17,'Inflation Adjustments'!$B$3:$BT$4,2,TRUE))*CM17</f>
        <v>#N/A</v>
      </c>
      <c r="CY17" s="379" t="e">
        <f>(HLOOKUP($AI17,'Inflation Adjustments'!$B$3:$BT$4,2,TRUE))*CN17</f>
        <v>#N/A</v>
      </c>
      <c r="CZ17" s="379" t="e">
        <f>(HLOOKUP($AI17,'Inflation Adjustments'!$B$3:$BT$4,2,TRUE))*CO17</f>
        <v>#N/A</v>
      </c>
      <c r="DA17" s="379" t="e">
        <f>(HLOOKUP($AI17,'Inflation Adjustments'!$B$3:$BT$4,2,TRUE))*CP17</f>
        <v>#N/A</v>
      </c>
      <c r="DB17" s="379" t="e">
        <f>(HLOOKUP($AI17,'Inflation Adjustments'!$B$3:$BT$4,2,TRUE))*CQ17</f>
        <v>#N/A</v>
      </c>
      <c r="DC17" s="379" t="e">
        <f t="shared" si="24"/>
        <v>#N/A</v>
      </c>
      <c r="DD17" s="354">
        <f t="shared" si="25"/>
        <v>2022</v>
      </c>
      <c r="DE17" s="378" t="e">
        <f t="shared" si="26"/>
        <v>#N/A</v>
      </c>
      <c r="DF17" s="378" t="e">
        <f t="shared" si="27"/>
        <v>#N/A</v>
      </c>
      <c r="DG17" s="378" t="e">
        <f t="shared" si="28"/>
        <v>#N/A</v>
      </c>
      <c r="DH17" s="378" t="e">
        <f t="shared" si="29"/>
        <v>#N/A</v>
      </c>
      <c r="DI17" s="378" t="e">
        <f t="shared" si="30"/>
        <v>#N/A</v>
      </c>
      <c r="DJ17" s="378" t="e">
        <f t="shared" si="31"/>
        <v>#N/A</v>
      </c>
      <c r="DK17" s="378" t="e">
        <f t="shared" si="32"/>
        <v>#N/A</v>
      </c>
      <c r="DL17" s="378" t="e">
        <f t="shared" si="32"/>
        <v>#N/A</v>
      </c>
      <c r="DM17" s="378" t="e">
        <f t="shared" si="33"/>
        <v>#N/A</v>
      </c>
      <c r="DN17" s="378" t="e">
        <f t="shared" si="34"/>
        <v>#N/A</v>
      </c>
      <c r="DO17" s="380" t="e">
        <f t="shared" si="35"/>
        <v>#N/A</v>
      </c>
      <c r="DP17" s="380" t="e">
        <f t="shared" si="36"/>
        <v>#N/A</v>
      </c>
      <c r="DQ17" s="380" t="e">
        <f t="shared" si="36"/>
        <v>#N/A</v>
      </c>
      <c r="DR17" s="380" t="e">
        <f t="shared" si="36"/>
        <v>#N/A</v>
      </c>
      <c r="DS17" s="380" t="e">
        <f t="shared" si="36"/>
        <v>#N/A</v>
      </c>
      <c r="DT17" s="380" t="e">
        <f t="shared" si="36"/>
        <v>#N/A</v>
      </c>
      <c r="DU17" s="380" t="e">
        <f t="shared" si="36"/>
        <v>#N/A</v>
      </c>
      <c r="DV17" s="380" t="e">
        <f t="shared" si="36"/>
        <v>#N/A</v>
      </c>
      <c r="DW17" s="380" t="e">
        <f t="shared" si="36"/>
        <v>#N/A</v>
      </c>
      <c r="DX17" s="380" t="e">
        <f t="shared" si="36"/>
        <v>#N/A</v>
      </c>
      <c r="DY17" s="380" t="e">
        <f t="shared" si="37"/>
        <v>#N/A</v>
      </c>
      <c r="DZ17" s="378" t="e">
        <f t="shared" si="38"/>
        <v>#N/A</v>
      </c>
      <c r="EA17" s="378" t="e">
        <f t="shared" si="39"/>
        <v>#N/A</v>
      </c>
      <c r="EB17" s="378" t="e">
        <f t="shared" si="39"/>
        <v>#N/A</v>
      </c>
      <c r="EC17" s="378" t="e">
        <f t="shared" si="39"/>
        <v>#N/A</v>
      </c>
      <c r="ED17" s="378" t="e">
        <f t="shared" si="39"/>
        <v>#N/A</v>
      </c>
      <c r="EE17" s="378" t="e">
        <f t="shared" si="39"/>
        <v>#N/A</v>
      </c>
      <c r="EF17" s="378" t="e">
        <f t="shared" si="39"/>
        <v>#N/A</v>
      </c>
      <c r="EG17" s="378" t="e">
        <f t="shared" si="39"/>
        <v>#N/A</v>
      </c>
      <c r="EH17" s="378" t="e">
        <f t="shared" si="39"/>
        <v>#N/A</v>
      </c>
      <c r="EI17" s="378" t="e">
        <f t="shared" si="39"/>
        <v>#N/A</v>
      </c>
      <c r="EJ17" s="354" t="e">
        <f t="shared" si="40"/>
        <v>#N/A</v>
      </c>
      <c r="EK17" s="380" t="e">
        <f t="shared" si="41"/>
        <v>#N/A</v>
      </c>
      <c r="EL17" s="380" t="e">
        <f t="shared" si="42"/>
        <v>#N/A</v>
      </c>
      <c r="EM17" s="380" t="e">
        <f t="shared" si="42"/>
        <v>#N/A</v>
      </c>
      <c r="EN17" s="380" t="e">
        <f t="shared" si="42"/>
        <v>#N/A</v>
      </c>
      <c r="EO17" s="380" t="e">
        <f t="shared" si="42"/>
        <v>#N/A</v>
      </c>
      <c r="EP17" s="380" t="e">
        <f t="shared" si="42"/>
        <v>#N/A</v>
      </c>
      <c r="EQ17" s="380" t="e">
        <f t="shared" si="42"/>
        <v>#N/A</v>
      </c>
      <c r="ER17" s="380" t="e">
        <f t="shared" si="42"/>
        <v>#N/A</v>
      </c>
      <c r="ES17" s="380" t="e">
        <f t="shared" si="42"/>
        <v>#N/A</v>
      </c>
      <c r="ET17" s="380" t="e">
        <f t="shared" si="42"/>
        <v>#N/A</v>
      </c>
      <c r="EU17" s="379" t="e">
        <f t="shared" si="43"/>
        <v>#N/A</v>
      </c>
      <c r="EV17" s="381"/>
      <c r="EW17" s="382"/>
      <c r="EX17" s="382"/>
      <c r="EY17" s="382"/>
      <c r="EZ17" s="382"/>
      <c r="FA17" s="382"/>
      <c r="FB17" s="382"/>
      <c r="FE17" s="583" t="s">
        <v>1662</v>
      </c>
      <c r="FF17" s="583"/>
      <c r="FG17" s="583"/>
      <c r="FH17" s="583"/>
      <c r="FI17" s="583"/>
    </row>
    <row r="18" spans="1:165" ht="35" customHeight="1" x14ac:dyDescent="0.3">
      <c r="A18" s="330"/>
      <c r="B18" s="318"/>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7"/>
      <c r="AN18" s="318"/>
      <c r="AO18" s="317"/>
      <c r="AP18" s="317"/>
      <c r="AQ18" s="317"/>
      <c r="AR18" s="317"/>
      <c r="AS18" s="317"/>
      <c r="AT18" s="317"/>
      <c r="AU18" s="318"/>
      <c r="AV18" s="318"/>
      <c r="AW18" s="318"/>
      <c r="AX18" s="318"/>
      <c r="AY18" s="318"/>
      <c r="AZ18" s="318"/>
      <c r="BA18" s="318"/>
      <c r="BB18" s="318"/>
      <c r="BC18" s="318"/>
      <c r="BD18" s="318"/>
      <c r="BE18" s="318"/>
      <c r="BF18" s="318"/>
      <c r="BG18" s="318"/>
      <c r="BH18" s="333"/>
      <c r="BI18" s="333"/>
      <c r="BJ18" s="333"/>
      <c r="BK18" s="333"/>
      <c r="BL18" s="333"/>
      <c r="BM18" s="333"/>
      <c r="BN18" s="333"/>
      <c r="BO18" s="333"/>
      <c r="BP18" s="333"/>
      <c r="BQ18" s="333"/>
      <c r="BR18" s="333"/>
      <c r="BS18" s="333"/>
      <c r="BT18" s="334"/>
      <c r="BU18" s="335"/>
      <c r="BV18" s="346"/>
      <c r="BY18" s="376"/>
      <c r="BZ18" s="373"/>
      <c r="CA18" s="373"/>
      <c r="CB18" s="373"/>
      <c r="CC18" s="373"/>
      <c r="CD18" s="373"/>
      <c r="CE18" s="373"/>
      <c r="CF18" s="373"/>
      <c r="CG18" s="373"/>
      <c r="CH18" s="378" t="e">
        <f t="shared" si="13"/>
        <v>#N/A</v>
      </c>
      <c r="CI18" s="378" t="e">
        <f t="shared" si="14"/>
        <v>#N/A</v>
      </c>
      <c r="CJ18" s="378" t="e">
        <f t="shared" si="15"/>
        <v>#N/A</v>
      </c>
      <c r="CK18" s="378" t="e">
        <f t="shared" si="16"/>
        <v>#N/A</v>
      </c>
      <c r="CL18" s="378" t="e">
        <f t="shared" si="17"/>
        <v>#N/A</v>
      </c>
      <c r="CM18" s="378" t="e">
        <f t="shared" si="18"/>
        <v>#N/A</v>
      </c>
      <c r="CN18" s="378" t="e">
        <f t="shared" si="19"/>
        <v>#N/A</v>
      </c>
      <c r="CO18" s="378" t="e">
        <f t="shared" si="20"/>
        <v>#N/A</v>
      </c>
      <c r="CP18" s="378" t="e">
        <f t="shared" si="21"/>
        <v>#N/A</v>
      </c>
      <c r="CQ18" s="378" t="e">
        <f t="shared" si="22"/>
        <v>#N/A</v>
      </c>
      <c r="CR18" s="354" t="e">
        <f t="shared" si="23"/>
        <v>#N/A</v>
      </c>
      <c r="CS18" s="379" t="e">
        <f>(HLOOKUP($AI18,'Inflation Adjustments'!$B$3:$BT$4,2,TRUE))*CH18</f>
        <v>#N/A</v>
      </c>
      <c r="CT18" s="379" t="e">
        <f>(HLOOKUP($AI18,'Inflation Adjustments'!$B$3:$BT$4,2,TRUE))*CI18</f>
        <v>#N/A</v>
      </c>
      <c r="CU18" s="379" t="e">
        <f>(HLOOKUP($AI18,'Inflation Adjustments'!$B$3:$BT$4,2,TRUE))*CJ18</f>
        <v>#N/A</v>
      </c>
      <c r="CV18" s="379" t="e">
        <f>(HLOOKUP($AI18,'Inflation Adjustments'!$B$3:$BT$4,2,TRUE))*CK18</f>
        <v>#N/A</v>
      </c>
      <c r="CW18" s="379" t="e">
        <f>(HLOOKUP($AI18,'Inflation Adjustments'!$B$3:$BT$4,2,TRUE))*CL18</f>
        <v>#N/A</v>
      </c>
      <c r="CX18" s="379" t="e">
        <f>(HLOOKUP($AI18,'Inflation Adjustments'!$B$3:$BT$4,2,TRUE))*CM18</f>
        <v>#N/A</v>
      </c>
      <c r="CY18" s="379" t="e">
        <f>(HLOOKUP($AI18,'Inflation Adjustments'!$B$3:$BT$4,2,TRUE))*CN18</f>
        <v>#N/A</v>
      </c>
      <c r="CZ18" s="379" t="e">
        <f>(HLOOKUP($AI18,'Inflation Adjustments'!$B$3:$BT$4,2,TRUE))*CO18</f>
        <v>#N/A</v>
      </c>
      <c r="DA18" s="379" t="e">
        <f>(HLOOKUP($AI18,'Inflation Adjustments'!$B$3:$BT$4,2,TRUE))*CP18</f>
        <v>#N/A</v>
      </c>
      <c r="DB18" s="379" t="e">
        <f>(HLOOKUP($AI18,'Inflation Adjustments'!$B$3:$BT$4,2,TRUE))*CQ18</f>
        <v>#N/A</v>
      </c>
      <c r="DC18" s="379" t="e">
        <f t="shared" si="24"/>
        <v>#N/A</v>
      </c>
      <c r="DD18" s="354">
        <f t="shared" si="25"/>
        <v>2022</v>
      </c>
      <c r="DE18" s="378" t="e">
        <f t="shared" si="26"/>
        <v>#N/A</v>
      </c>
      <c r="DF18" s="378" t="e">
        <f t="shared" si="27"/>
        <v>#N/A</v>
      </c>
      <c r="DG18" s="378" t="e">
        <f t="shared" si="28"/>
        <v>#N/A</v>
      </c>
      <c r="DH18" s="378" t="e">
        <f t="shared" si="29"/>
        <v>#N/A</v>
      </c>
      <c r="DI18" s="378" t="e">
        <f t="shared" si="30"/>
        <v>#N/A</v>
      </c>
      <c r="DJ18" s="378" t="e">
        <f t="shared" si="31"/>
        <v>#N/A</v>
      </c>
      <c r="DK18" s="378" t="e">
        <f t="shared" si="32"/>
        <v>#N/A</v>
      </c>
      <c r="DL18" s="378" t="e">
        <f t="shared" si="32"/>
        <v>#N/A</v>
      </c>
      <c r="DM18" s="378" t="e">
        <f t="shared" si="33"/>
        <v>#N/A</v>
      </c>
      <c r="DN18" s="378" t="e">
        <f t="shared" si="34"/>
        <v>#N/A</v>
      </c>
      <c r="DO18" s="380" t="e">
        <f t="shared" si="35"/>
        <v>#N/A</v>
      </c>
      <c r="DP18" s="380" t="e">
        <f t="shared" si="36"/>
        <v>#N/A</v>
      </c>
      <c r="DQ18" s="380" t="e">
        <f t="shared" si="36"/>
        <v>#N/A</v>
      </c>
      <c r="DR18" s="380" t="e">
        <f t="shared" si="36"/>
        <v>#N/A</v>
      </c>
      <c r="DS18" s="380" t="e">
        <f t="shared" si="36"/>
        <v>#N/A</v>
      </c>
      <c r="DT18" s="380" t="e">
        <f t="shared" si="36"/>
        <v>#N/A</v>
      </c>
      <c r="DU18" s="380" t="e">
        <f t="shared" si="36"/>
        <v>#N/A</v>
      </c>
      <c r="DV18" s="380" t="e">
        <f t="shared" si="36"/>
        <v>#N/A</v>
      </c>
      <c r="DW18" s="380" t="e">
        <f t="shared" si="36"/>
        <v>#N/A</v>
      </c>
      <c r="DX18" s="380" t="e">
        <f t="shared" si="36"/>
        <v>#N/A</v>
      </c>
      <c r="DY18" s="380" t="e">
        <f t="shared" si="37"/>
        <v>#N/A</v>
      </c>
      <c r="DZ18" s="378" t="e">
        <f t="shared" si="38"/>
        <v>#N/A</v>
      </c>
      <c r="EA18" s="378" t="e">
        <f t="shared" si="39"/>
        <v>#N/A</v>
      </c>
      <c r="EB18" s="378" t="e">
        <f t="shared" si="39"/>
        <v>#N/A</v>
      </c>
      <c r="EC18" s="378" t="e">
        <f t="shared" si="39"/>
        <v>#N/A</v>
      </c>
      <c r="ED18" s="378" t="e">
        <f t="shared" si="39"/>
        <v>#N/A</v>
      </c>
      <c r="EE18" s="378" t="e">
        <f t="shared" si="39"/>
        <v>#N/A</v>
      </c>
      <c r="EF18" s="378" t="e">
        <f t="shared" si="39"/>
        <v>#N/A</v>
      </c>
      <c r="EG18" s="378" t="e">
        <f t="shared" si="39"/>
        <v>#N/A</v>
      </c>
      <c r="EH18" s="378" t="e">
        <f t="shared" si="39"/>
        <v>#N/A</v>
      </c>
      <c r="EI18" s="378" t="e">
        <f t="shared" si="39"/>
        <v>#N/A</v>
      </c>
      <c r="EJ18" s="354" t="e">
        <f t="shared" si="40"/>
        <v>#N/A</v>
      </c>
      <c r="EK18" s="380" t="e">
        <f t="shared" si="41"/>
        <v>#N/A</v>
      </c>
      <c r="EL18" s="380" t="e">
        <f t="shared" si="42"/>
        <v>#N/A</v>
      </c>
      <c r="EM18" s="380" t="e">
        <f t="shared" si="42"/>
        <v>#N/A</v>
      </c>
      <c r="EN18" s="380" t="e">
        <f t="shared" si="42"/>
        <v>#N/A</v>
      </c>
      <c r="EO18" s="380" t="e">
        <f t="shared" si="42"/>
        <v>#N/A</v>
      </c>
      <c r="EP18" s="380" t="e">
        <f t="shared" si="42"/>
        <v>#N/A</v>
      </c>
      <c r="EQ18" s="380" t="e">
        <f t="shared" si="42"/>
        <v>#N/A</v>
      </c>
      <c r="ER18" s="380" t="e">
        <f t="shared" si="42"/>
        <v>#N/A</v>
      </c>
      <c r="ES18" s="380" t="e">
        <f t="shared" si="42"/>
        <v>#N/A</v>
      </c>
      <c r="ET18" s="380" t="e">
        <f t="shared" si="42"/>
        <v>#N/A</v>
      </c>
      <c r="EU18" s="379" t="e">
        <f t="shared" si="43"/>
        <v>#N/A</v>
      </c>
      <c r="EV18" s="381"/>
      <c r="EW18" s="382"/>
      <c r="EX18" s="382"/>
      <c r="EY18" s="382"/>
      <c r="EZ18" s="382"/>
      <c r="FA18" s="382"/>
      <c r="FB18" s="382"/>
      <c r="FE18" s="583" t="s">
        <v>1590</v>
      </c>
      <c r="FF18" s="583"/>
      <c r="FG18" s="583"/>
      <c r="FH18" s="583"/>
      <c r="FI18" s="583"/>
    </row>
    <row r="19" spans="1:165" ht="35" customHeight="1" x14ac:dyDescent="0.3">
      <c r="A19" s="330"/>
      <c r="B19" s="318"/>
      <c r="C19" s="318"/>
      <c r="D19" s="318"/>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7"/>
      <c r="AN19" s="318"/>
      <c r="AO19" s="317"/>
      <c r="AP19" s="317"/>
      <c r="AQ19" s="317"/>
      <c r="AR19" s="317"/>
      <c r="AS19" s="317"/>
      <c r="AT19" s="317"/>
      <c r="AU19" s="318"/>
      <c r="AV19" s="318"/>
      <c r="AW19" s="318"/>
      <c r="AX19" s="318"/>
      <c r="AY19" s="318"/>
      <c r="AZ19" s="318"/>
      <c r="BA19" s="318"/>
      <c r="BB19" s="318"/>
      <c r="BC19" s="318"/>
      <c r="BD19" s="318"/>
      <c r="BE19" s="318"/>
      <c r="BF19" s="318"/>
      <c r="BG19" s="318"/>
      <c r="BH19" s="333"/>
      <c r="BI19" s="333"/>
      <c r="BJ19" s="333"/>
      <c r="BK19" s="333"/>
      <c r="BL19" s="333"/>
      <c r="BM19" s="333"/>
      <c r="BN19" s="333"/>
      <c r="BO19" s="333"/>
      <c r="BP19" s="333"/>
      <c r="BQ19" s="333"/>
      <c r="BR19" s="333"/>
      <c r="BS19" s="333"/>
      <c r="BT19" s="334"/>
      <c r="BU19" s="335"/>
      <c r="BV19" s="346"/>
      <c r="BY19" s="376"/>
      <c r="BZ19" s="373"/>
      <c r="CA19" s="373"/>
      <c r="CB19" s="373"/>
      <c r="CC19" s="373"/>
      <c r="CD19" s="373"/>
      <c r="CE19" s="373"/>
      <c r="CF19" s="373"/>
      <c r="CG19" s="373"/>
      <c r="CH19" s="378" t="e">
        <f t="shared" si="13"/>
        <v>#N/A</v>
      </c>
      <c r="CI19" s="378" t="e">
        <f t="shared" si="14"/>
        <v>#N/A</v>
      </c>
      <c r="CJ19" s="378" t="e">
        <f t="shared" si="15"/>
        <v>#N/A</v>
      </c>
      <c r="CK19" s="378" t="e">
        <f t="shared" si="16"/>
        <v>#N/A</v>
      </c>
      <c r="CL19" s="378" t="e">
        <f t="shared" si="17"/>
        <v>#N/A</v>
      </c>
      <c r="CM19" s="378" t="e">
        <f t="shared" si="18"/>
        <v>#N/A</v>
      </c>
      <c r="CN19" s="378" t="e">
        <f t="shared" si="19"/>
        <v>#N/A</v>
      </c>
      <c r="CO19" s="378" t="e">
        <f t="shared" si="20"/>
        <v>#N/A</v>
      </c>
      <c r="CP19" s="378" t="e">
        <f t="shared" si="21"/>
        <v>#N/A</v>
      </c>
      <c r="CQ19" s="378" t="e">
        <f t="shared" si="22"/>
        <v>#N/A</v>
      </c>
      <c r="CR19" s="354" t="e">
        <f t="shared" si="23"/>
        <v>#N/A</v>
      </c>
      <c r="CS19" s="379" t="e">
        <f>(HLOOKUP($AI19,'Inflation Adjustments'!$B$3:$BT$4,2,TRUE))*CH19</f>
        <v>#N/A</v>
      </c>
      <c r="CT19" s="379" t="e">
        <f>(HLOOKUP($AI19,'Inflation Adjustments'!$B$3:$BT$4,2,TRUE))*CI19</f>
        <v>#N/A</v>
      </c>
      <c r="CU19" s="379" t="e">
        <f>(HLOOKUP($AI19,'Inflation Adjustments'!$B$3:$BT$4,2,TRUE))*CJ19</f>
        <v>#N/A</v>
      </c>
      <c r="CV19" s="379" t="e">
        <f>(HLOOKUP($AI19,'Inflation Adjustments'!$B$3:$BT$4,2,TRUE))*CK19</f>
        <v>#N/A</v>
      </c>
      <c r="CW19" s="379" t="e">
        <f>(HLOOKUP($AI19,'Inflation Adjustments'!$B$3:$BT$4,2,TRUE))*CL19</f>
        <v>#N/A</v>
      </c>
      <c r="CX19" s="379" t="e">
        <f>(HLOOKUP($AI19,'Inflation Adjustments'!$B$3:$BT$4,2,TRUE))*CM19</f>
        <v>#N/A</v>
      </c>
      <c r="CY19" s="379" t="e">
        <f>(HLOOKUP($AI19,'Inflation Adjustments'!$B$3:$BT$4,2,TRUE))*CN19</f>
        <v>#N/A</v>
      </c>
      <c r="CZ19" s="379" t="e">
        <f>(HLOOKUP($AI19,'Inflation Adjustments'!$B$3:$BT$4,2,TRUE))*CO19</f>
        <v>#N/A</v>
      </c>
      <c r="DA19" s="379" t="e">
        <f>(HLOOKUP($AI19,'Inflation Adjustments'!$B$3:$BT$4,2,TRUE))*CP19</f>
        <v>#N/A</v>
      </c>
      <c r="DB19" s="379" t="e">
        <f>(HLOOKUP($AI19,'Inflation Adjustments'!$B$3:$BT$4,2,TRUE))*CQ19</f>
        <v>#N/A</v>
      </c>
      <c r="DC19" s="379" t="e">
        <f t="shared" si="24"/>
        <v>#N/A</v>
      </c>
      <c r="DD19" s="354">
        <f t="shared" si="25"/>
        <v>2022</v>
      </c>
      <c r="DE19" s="378" t="e">
        <f t="shared" si="26"/>
        <v>#N/A</v>
      </c>
      <c r="DF19" s="378" t="e">
        <f t="shared" si="27"/>
        <v>#N/A</v>
      </c>
      <c r="DG19" s="378" t="e">
        <f t="shared" si="28"/>
        <v>#N/A</v>
      </c>
      <c r="DH19" s="378" t="e">
        <f t="shared" si="29"/>
        <v>#N/A</v>
      </c>
      <c r="DI19" s="378" t="e">
        <f t="shared" si="30"/>
        <v>#N/A</v>
      </c>
      <c r="DJ19" s="378" t="e">
        <f t="shared" si="31"/>
        <v>#N/A</v>
      </c>
      <c r="DK19" s="378" t="e">
        <f t="shared" si="32"/>
        <v>#N/A</v>
      </c>
      <c r="DL19" s="378" t="e">
        <f t="shared" si="32"/>
        <v>#N/A</v>
      </c>
      <c r="DM19" s="378" t="e">
        <f t="shared" si="33"/>
        <v>#N/A</v>
      </c>
      <c r="DN19" s="378" t="e">
        <f t="shared" si="34"/>
        <v>#N/A</v>
      </c>
      <c r="DO19" s="380" t="e">
        <f t="shared" si="35"/>
        <v>#N/A</v>
      </c>
      <c r="DP19" s="380" t="e">
        <f t="shared" si="36"/>
        <v>#N/A</v>
      </c>
      <c r="DQ19" s="380" t="e">
        <f t="shared" si="36"/>
        <v>#N/A</v>
      </c>
      <c r="DR19" s="380" t="e">
        <f t="shared" si="36"/>
        <v>#N/A</v>
      </c>
      <c r="DS19" s="380" t="e">
        <f t="shared" si="36"/>
        <v>#N/A</v>
      </c>
      <c r="DT19" s="380" t="e">
        <f t="shared" si="36"/>
        <v>#N/A</v>
      </c>
      <c r="DU19" s="380" t="e">
        <f t="shared" si="36"/>
        <v>#N/A</v>
      </c>
      <c r="DV19" s="380" t="e">
        <f t="shared" si="36"/>
        <v>#N/A</v>
      </c>
      <c r="DW19" s="380" t="e">
        <f t="shared" si="36"/>
        <v>#N/A</v>
      </c>
      <c r="DX19" s="380" t="e">
        <f t="shared" si="36"/>
        <v>#N/A</v>
      </c>
      <c r="DY19" s="380" t="e">
        <f t="shared" si="37"/>
        <v>#N/A</v>
      </c>
      <c r="DZ19" s="378" t="e">
        <f t="shared" si="38"/>
        <v>#N/A</v>
      </c>
      <c r="EA19" s="378" t="e">
        <f t="shared" si="39"/>
        <v>#N/A</v>
      </c>
      <c r="EB19" s="378" t="e">
        <f t="shared" si="39"/>
        <v>#N/A</v>
      </c>
      <c r="EC19" s="378" t="e">
        <f t="shared" si="39"/>
        <v>#N/A</v>
      </c>
      <c r="ED19" s="378" t="e">
        <f t="shared" si="39"/>
        <v>#N/A</v>
      </c>
      <c r="EE19" s="378" t="e">
        <f t="shared" si="39"/>
        <v>#N/A</v>
      </c>
      <c r="EF19" s="378" t="e">
        <f t="shared" si="39"/>
        <v>#N/A</v>
      </c>
      <c r="EG19" s="378" t="e">
        <f t="shared" si="39"/>
        <v>#N/A</v>
      </c>
      <c r="EH19" s="378" t="e">
        <f t="shared" si="39"/>
        <v>#N/A</v>
      </c>
      <c r="EI19" s="378" t="e">
        <f t="shared" si="39"/>
        <v>#N/A</v>
      </c>
      <c r="EJ19" s="354" t="e">
        <f t="shared" si="40"/>
        <v>#N/A</v>
      </c>
      <c r="EK19" s="380" t="e">
        <f t="shared" si="41"/>
        <v>#N/A</v>
      </c>
      <c r="EL19" s="380" t="e">
        <f t="shared" si="42"/>
        <v>#N/A</v>
      </c>
      <c r="EM19" s="380" t="e">
        <f t="shared" si="42"/>
        <v>#N/A</v>
      </c>
      <c r="EN19" s="380" t="e">
        <f t="shared" si="42"/>
        <v>#N/A</v>
      </c>
      <c r="EO19" s="380" t="e">
        <f t="shared" si="42"/>
        <v>#N/A</v>
      </c>
      <c r="EP19" s="380" t="e">
        <f t="shared" si="42"/>
        <v>#N/A</v>
      </c>
      <c r="EQ19" s="380" t="e">
        <f t="shared" si="42"/>
        <v>#N/A</v>
      </c>
      <c r="ER19" s="380" t="e">
        <f t="shared" si="42"/>
        <v>#N/A</v>
      </c>
      <c r="ES19" s="380" t="e">
        <f t="shared" si="42"/>
        <v>#N/A</v>
      </c>
      <c r="ET19" s="380" t="e">
        <f t="shared" si="42"/>
        <v>#N/A</v>
      </c>
      <c r="EU19" s="379" t="e">
        <f t="shared" si="43"/>
        <v>#N/A</v>
      </c>
      <c r="EV19" s="381"/>
      <c r="EW19" s="382"/>
      <c r="EX19" s="382"/>
      <c r="EY19" s="382"/>
      <c r="EZ19" s="382"/>
      <c r="FA19" s="382"/>
      <c r="FB19" s="382"/>
      <c r="FE19" s="583" t="s">
        <v>1658</v>
      </c>
      <c r="FF19" s="583"/>
      <c r="FG19" s="583"/>
      <c r="FH19" s="583"/>
      <c r="FI19" s="583"/>
    </row>
    <row r="20" spans="1:165" ht="35" customHeight="1" x14ac:dyDescent="0.3">
      <c r="A20" s="330"/>
      <c r="B20" s="318"/>
      <c r="C20" s="318"/>
      <c r="D20" s="318"/>
      <c r="E20" s="318"/>
      <c r="F20" s="318"/>
      <c r="G20" s="318"/>
      <c r="H20" s="318"/>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18"/>
      <c r="AI20" s="318"/>
      <c r="AJ20" s="318"/>
      <c r="AK20" s="318"/>
      <c r="AL20" s="318"/>
      <c r="AM20" s="317"/>
      <c r="AN20" s="318"/>
      <c r="AO20" s="317"/>
      <c r="AP20" s="317"/>
      <c r="AQ20" s="317"/>
      <c r="AR20" s="317"/>
      <c r="AS20" s="317"/>
      <c r="AT20" s="317"/>
      <c r="AU20" s="318"/>
      <c r="AV20" s="318"/>
      <c r="AW20" s="318"/>
      <c r="AX20" s="318"/>
      <c r="AY20" s="318"/>
      <c r="AZ20" s="318"/>
      <c r="BA20" s="318"/>
      <c r="BB20" s="318"/>
      <c r="BC20" s="318"/>
      <c r="BD20" s="318"/>
      <c r="BE20" s="318"/>
      <c r="BF20" s="318"/>
      <c r="BG20" s="318"/>
      <c r="BH20" s="333"/>
      <c r="BI20" s="333"/>
      <c r="BJ20" s="333"/>
      <c r="BK20" s="333"/>
      <c r="BL20" s="333"/>
      <c r="BM20" s="333"/>
      <c r="BN20" s="333"/>
      <c r="BO20" s="333"/>
      <c r="BP20" s="333"/>
      <c r="BQ20" s="333"/>
      <c r="BR20" s="333"/>
      <c r="BS20" s="333"/>
      <c r="BT20" s="334"/>
      <c r="BU20" s="335"/>
      <c r="BV20" s="346"/>
      <c r="BY20" s="376"/>
      <c r="BZ20" s="373"/>
      <c r="CA20" s="373"/>
      <c r="CB20" s="373"/>
      <c r="CC20" s="373"/>
      <c r="CD20" s="373"/>
      <c r="CE20" s="373"/>
      <c r="CF20" s="373"/>
      <c r="CG20" s="373"/>
      <c r="CH20" s="378" t="e">
        <f t="shared" si="13"/>
        <v>#N/A</v>
      </c>
      <c r="CI20" s="378" t="e">
        <f t="shared" si="14"/>
        <v>#N/A</v>
      </c>
      <c r="CJ20" s="378" t="e">
        <f t="shared" si="15"/>
        <v>#N/A</v>
      </c>
      <c r="CK20" s="378" t="e">
        <f t="shared" si="16"/>
        <v>#N/A</v>
      </c>
      <c r="CL20" s="378" t="e">
        <f t="shared" si="17"/>
        <v>#N/A</v>
      </c>
      <c r="CM20" s="378" t="e">
        <f t="shared" si="18"/>
        <v>#N/A</v>
      </c>
      <c r="CN20" s="378" t="e">
        <f t="shared" si="19"/>
        <v>#N/A</v>
      </c>
      <c r="CO20" s="378" t="e">
        <f t="shared" si="20"/>
        <v>#N/A</v>
      </c>
      <c r="CP20" s="378" t="e">
        <f t="shared" si="21"/>
        <v>#N/A</v>
      </c>
      <c r="CQ20" s="378" t="e">
        <f t="shared" si="22"/>
        <v>#N/A</v>
      </c>
      <c r="CR20" s="354" t="e">
        <f t="shared" si="23"/>
        <v>#N/A</v>
      </c>
      <c r="CS20" s="379" t="e">
        <f>(HLOOKUP($AI20,'Inflation Adjustments'!$B$3:$BT$4,2,TRUE))*CH20</f>
        <v>#N/A</v>
      </c>
      <c r="CT20" s="379" t="e">
        <f>(HLOOKUP($AI20,'Inflation Adjustments'!$B$3:$BT$4,2,TRUE))*CI20</f>
        <v>#N/A</v>
      </c>
      <c r="CU20" s="379" t="e">
        <f>(HLOOKUP($AI20,'Inflation Adjustments'!$B$3:$BT$4,2,TRUE))*CJ20</f>
        <v>#N/A</v>
      </c>
      <c r="CV20" s="379" t="e">
        <f>(HLOOKUP($AI20,'Inflation Adjustments'!$B$3:$BT$4,2,TRUE))*CK20</f>
        <v>#N/A</v>
      </c>
      <c r="CW20" s="379" t="e">
        <f>(HLOOKUP($AI20,'Inflation Adjustments'!$B$3:$BT$4,2,TRUE))*CL20</f>
        <v>#N/A</v>
      </c>
      <c r="CX20" s="379" t="e">
        <f>(HLOOKUP($AI20,'Inflation Adjustments'!$B$3:$BT$4,2,TRUE))*CM20</f>
        <v>#N/A</v>
      </c>
      <c r="CY20" s="379" t="e">
        <f>(HLOOKUP($AI20,'Inflation Adjustments'!$B$3:$BT$4,2,TRUE))*CN20</f>
        <v>#N/A</v>
      </c>
      <c r="CZ20" s="379" t="e">
        <f>(HLOOKUP($AI20,'Inflation Adjustments'!$B$3:$BT$4,2,TRUE))*CO20</f>
        <v>#N/A</v>
      </c>
      <c r="DA20" s="379" t="e">
        <f>(HLOOKUP($AI20,'Inflation Adjustments'!$B$3:$BT$4,2,TRUE))*CP20</f>
        <v>#N/A</v>
      </c>
      <c r="DB20" s="379" t="e">
        <f>(HLOOKUP($AI20,'Inflation Adjustments'!$B$3:$BT$4,2,TRUE))*CQ20</f>
        <v>#N/A</v>
      </c>
      <c r="DC20" s="379" t="e">
        <f t="shared" si="24"/>
        <v>#N/A</v>
      </c>
      <c r="DD20" s="354">
        <f t="shared" si="25"/>
        <v>2022</v>
      </c>
      <c r="DE20" s="378" t="e">
        <f t="shared" si="26"/>
        <v>#N/A</v>
      </c>
      <c r="DF20" s="378" t="e">
        <f t="shared" si="27"/>
        <v>#N/A</v>
      </c>
      <c r="DG20" s="378" t="e">
        <f t="shared" si="28"/>
        <v>#N/A</v>
      </c>
      <c r="DH20" s="378" t="e">
        <f t="shared" si="29"/>
        <v>#N/A</v>
      </c>
      <c r="DI20" s="378" t="e">
        <f t="shared" si="30"/>
        <v>#N/A</v>
      </c>
      <c r="DJ20" s="378" t="e">
        <f t="shared" si="31"/>
        <v>#N/A</v>
      </c>
      <c r="DK20" s="378" t="e">
        <f t="shared" si="32"/>
        <v>#N/A</v>
      </c>
      <c r="DL20" s="378" t="e">
        <f t="shared" si="32"/>
        <v>#N/A</v>
      </c>
      <c r="DM20" s="378" t="e">
        <f t="shared" si="33"/>
        <v>#N/A</v>
      </c>
      <c r="DN20" s="378" t="e">
        <f t="shared" si="34"/>
        <v>#N/A</v>
      </c>
      <c r="DO20" s="380" t="e">
        <f t="shared" si="35"/>
        <v>#N/A</v>
      </c>
      <c r="DP20" s="380" t="e">
        <f t="shared" si="36"/>
        <v>#N/A</v>
      </c>
      <c r="DQ20" s="380" t="e">
        <f t="shared" si="36"/>
        <v>#N/A</v>
      </c>
      <c r="DR20" s="380" t="e">
        <f t="shared" si="36"/>
        <v>#N/A</v>
      </c>
      <c r="DS20" s="380" t="e">
        <f t="shared" si="36"/>
        <v>#N/A</v>
      </c>
      <c r="DT20" s="380" t="e">
        <f t="shared" si="36"/>
        <v>#N/A</v>
      </c>
      <c r="DU20" s="380" t="e">
        <f t="shared" si="36"/>
        <v>#N/A</v>
      </c>
      <c r="DV20" s="380" t="e">
        <f t="shared" si="36"/>
        <v>#N/A</v>
      </c>
      <c r="DW20" s="380" t="e">
        <f t="shared" si="36"/>
        <v>#N/A</v>
      </c>
      <c r="DX20" s="380" t="e">
        <f t="shared" si="36"/>
        <v>#N/A</v>
      </c>
      <c r="DY20" s="380" t="e">
        <f t="shared" si="37"/>
        <v>#N/A</v>
      </c>
      <c r="DZ20" s="378" t="e">
        <f t="shared" si="38"/>
        <v>#N/A</v>
      </c>
      <c r="EA20" s="378" t="e">
        <f t="shared" si="39"/>
        <v>#N/A</v>
      </c>
      <c r="EB20" s="378" t="e">
        <f t="shared" si="39"/>
        <v>#N/A</v>
      </c>
      <c r="EC20" s="378" t="e">
        <f t="shared" si="39"/>
        <v>#N/A</v>
      </c>
      <c r="ED20" s="378" t="e">
        <f t="shared" si="39"/>
        <v>#N/A</v>
      </c>
      <c r="EE20" s="378" t="e">
        <f t="shared" si="39"/>
        <v>#N/A</v>
      </c>
      <c r="EF20" s="378" t="e">
        <f t="shared" si="39"/>
        <v>#N/A</v>
      </c>
      <c r="EG20" s="378" t="e">
        <f t="shared" si="39"/>
        <v>#N/A</v>
      </c>
      <c r="EH20" s="378" t="e">
        <f t="shared" si="39"/>
        <v>#N/A</v>
      </c>
      <c r="EI20" s="378" t="e">
        <f t="shared" si="39"/>
        <v>#N/A</v>
      </c>
      <c r="EJ20" s="354" t="e">
        <f t="shared" si="40"/>
        <v>#N/A</v>
      </c>
      <c r="EK20" s="380" t="e">
        <f t="shared" si="41"/>
        <v>#N/A</v>
      </c>
      <c r="EL20" s="380" t="e">
        <f t="shared" si="42"/>
        <v>#N/A</v>
      </c>
      <c r="EM20" s="380" t="e">
        <f t="shared" si="42"/>
        <v>#N/A</v>
      </c>
      <c r="EN20" s="380" t="e">
        <f t="shared" si="42"/>
        <v>#N/A</v>
      </c>
      <c r="EO20" s="380" t="e">
        <f t="shared" si="42"/>
        <v>#N/A</v>
      </c>
      <c r="EP20" s="380" t="e">
        <f t="shared" si="42"/>
        <v>#N/A</v>
      </c>
      <c r="EQ20" s="380" t="e">
        <f t="shared" si="42"/>
        <v>#N/A</v>
      </c>
      <c r="ER20" s="380" t="e">
        <f t="shared" si="42"/>
        <v>#N/A</v>
      </c>
      <c r="ES20" s="380" t="e">
        <f t="shared" si="42"/>
        <v>#N/A</v>
      </c>
      <c r="ET20" s="380" t="e">
        <f t="shared" si="42"/>
        <v>#N/A</v>
      </c>
      <c r="EU20" s="379" t="e">
        <f t="shared" si="43"/>
        <v>#N/A</v>
      </c>
      <c r="EV20" s="381"/>
      <c r="EW20" s="382"/>
      <c r="EX20" s="382"/>
      <c r="EY20" s="382"/>
      <c r="EZ20" s="382"/>
      <c r="FA20" s="382"/>
      <c r="FB20" s="382"/>
      <c r="FE20" s="583" t="s">
        <v>1659</v>
      </c>
      <c r="FF20" s="583"/>
      <c r="FG20" s="583"/>
      <c r="FH20" s="583"/>
      <c r="FI20" s="583"/>
    </row>
    <row r="21" spans="1:165" ht="35" customHeight="1" x14ac:dyDescent="0.3">
      <c r="A21" s="330"/>
      <c r="B21" s="318"/>
      <c r="C21" s="318"/>
      <c r="D21" s="318"/>
      <c r="E21" s="318"/>
      <c r="F21" s="318"/>
      <c r="G21" s="318"/>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7"/>
      <c r="AN21" s="318"/>
      <c r="AO21" s="317"/>
      <c r="AP21" s="317"/>
      <c r="AQ21" s="317"/>
      <c r="AR21" s="317"/>
      <c r="AS21" s="317"/>
      <c r="AT21" s="317"/>
      <c r="AU21" s="318"/>
      <c r="AV21" s="318"/>
      <c r="AW21" s="318"/>
      <c r="AX21" s="318"/>
      <c r="AY21" s="318"/>
      <c r="AZ21" s="318"/>
      <c r="BA21" s="318"/>
      <c r="BB21" s="318"/>
      <c r="BC21" s="318"/>
      <c r="BD21" s="318"/>
      <c r="BE21" s="318"/>
      <c r="BF21" s="318"/>
      <c r="BG21" s="318"/>
      <c r="BH21" s="333"/>
      <c r="BI21" s="333"/>
      <c r="BJ21" s="333"/>
      <c r="BK21" s="333"/>
      <c r="BL21" s="333"/>
      <c r="BM21" s="333"/>
      <c r="BN21" s="333"/>
      <c r="BO21" s="333"/>
      <c r="BP21" s="333"/>
      <c r="BQ21" s="333"/>
      <c r="BR21" s="333"/>
      <c r="BS21" s="333"/>
      <c r="BT21" s="334"/>
      <c r="BU21" s="335"/>
      <c r="BV21" s="346"/>
      <c r="BY21" s="376"/>
      <c r="BZ21" s="373"/>
      <c r="CA21" s="373"/>
      <c r="CB21" s="373"/>
      <c r="CC21" s="373"/>
      <c r="CD21" s="373"/>
      <c r="CE21" s="373"/>
      <c r="CF21" s="373"/>
      <c r="CG21" s="373"/>
      <c r="CH21" s="378" t="e">
        <f t="shared" si="13"/>
        <v>#N/A</v>
      </c>
      <c r="CI21" s="378" t="e">
        <f t="shared" si="14"/>
        <v>#N/A</v>
      </c>
      <c r="CJ21" s="378" t="e">
        <f t="shared" si="15"/>
        <v>#N/A</v>
      </c>
      <c r="CK21" s="378" t="e">
        <f t="shared" si="16"/>
        <v>#N/A</v>
      </c>
      <c r="CL21" s="378" t="e">
        <f t="shared" si="17"/>
        <v>#N/A</v>
      </c>
      <c r="CM21" s="378" t="e">
        <f t="shared" si="18"/>
        <v>#N/A</v>
      </c>
      <c r="CN21" s="378" t="e">
        <f t="shared" si="19"/>
        <v>#N/A</v>
      </c>
      <c r="CO21" s="378" t="e">
        <f t="shared" si="20"/>
        <v>#N/A</v>
      </c>
      <c r="CP21" s="378" t="e">
        <f t="shared" si="21"/>
        <v>#N/A</v>
      </c>
      <c r="CQ21" s="378" t="e">
        <f t="shared" si="22"/>
        <v>#N/A</v>
      </c>
      <c r="CR21" s="354" t="e">
        <f t="shared" si="23"/>
        <v>#N/A</v>
      </c>
      <c r="CS21" s="379" t="e">
        <f>(HLOOKUP($AI21,'Inflation Adjustments'!$B$3:$BT$4,2,TRUE))*CH21</f>
        <v>#N/A</v>
      </c>
      <c r="CT21" s="379" t="e">
        <f>(HLOOKUP($AI21,'Inflation Adjustments'!$B$3:$BT$4,2,TRUE))*CI21</f>
        <v>#N/A</v>
      </c>
      <c r="CU21" s="379" t="e">
        <f>(HLOOKUP($AI21,'Inflation Adjustments'!$B$3:$BT$4,2,TRUE))*CJ21</f>
        <v>#N/A</v>
      </c>
      <c r="CV21" s="379" t="e">
        <f>(HLOOKUP($AI21,'Inflation Adjustments'!$B$3:$BT$4,2,TRUE))*CK21</f>
        <v>#N/A</v>
      </c>
      <c r="CW21" s="379" t="e">
        <f>(HLOOKUP($AI21,'Inflation Adjustments'!$B$3:$BT$4,2,TRUE))*CL21</f>
        <v>#N/A</v>
      </c>
      <c r="CX21" s="379" t="e">
        <f>(HLOOKUP($AI21,'Inflation Adjustments'!$B$3:$BT$4,2,TRUE))*CM21</f>
        <v>#N/A</v>
      </c>
      <c r="CY21" s="379" t="e">
        <f>(HLOOKUP($AI21,'Inflation Adjustments'!$B$3:$BT$4,2,TRUE))*CN21</f>
        <v>#N/A</v>
      </c>
      <c r="CZ21" s="379" t="e">
        <f>(HLOOKUP($AI21,'Inflation Adjustments'!$B$3:$BT$4,2,TRUE))*CO21</f>
        <v>#N/A</v>
      </c>
      <c r="DA21" s="379" t="e">
        <f>(HLOOKUP($AI21,'Inflation Adjustments'!$B$3:$BT$4,2,TRUE))*CP21</f>
        <v>#N/A</v>
      </c>
      <c r="DB21" s="379" t="e">
        <f>(HLOOKUP($AI21,'Inflation Adjustments'!$B$3:$BT$4,2,TRUE))*CQ21</f>
        <v>#N/A</v>
      </c>
      <c r="DC21" s="379" t="e">
        <f t="shared" si="24"/>
        <v>#N/A</v>
      </c>
      <c r="DD21" s="354">
        <f t="shared" si="25"/>
        <v>2022</v>
      </c>
      <c r="DE21" s="378" t="e">
        <f t="shared" si="26"/>
        <v>#N/A</v>
      </c>
      <c r="DF21" s="378" t="e">
        <f t="shared" si="27"/>
        <v>#N/A</v>
      </c>
      <c r="DG21" s="378" t="e">
        <f t="shared" si="28"/>
        <v>#N/A</v>
      </c>
      <c r="DH21" s="378" t="e">
        <f t="shared" si="29"/>
        <v>#N/A</v>
      </c>
      <c r="DI21" s="378" t="e">
        <f t="shared" si="30"/>
        <v>#N/A</v>
      </c>
      <c r="DJ21" s="378" t="e">
        <f t="shared" si="31"/>
        <v>#N/A</v>
      </c>
      <c r="DK21" s="378" t="e">
        <f t="shared" si="32"/>
        <v>#N/A</v>
      </c>
      <c r="DL21" s="378" t="e">
        <f t="shared" si="32"/>
        <v>#N/A</v>
      </c>
      <c r="DM21" s="378" t="e">
        <f t="shared" si="33"/>
        <v>#N/A</v>
      </c>
      <c r="DN21" s="378" t="e">
        <f t="shared" si="34"/>
        <v>#N/A</v>
      </c>
      <c r="DO21" s="380" t="e">
        <f t="shared" si="35"/>
        <v>#N/A</v>
      </c>
      <c r="DP21" s="380" t="e">
        <f t="shared" si="35"/>
        <v>#N/A</v>
      </c>
      <c r="DQ21" s="380" t="e">
        <f t="shared" si="35"/>
        <v>#N/A</v>
      </c>
      <c r="DR21" s="380" t="e">
        <f t="shared" si="35"/>
        <v>#N/A</v>
      </c>
      <c r="DS21" s="380" t="e">
        <f t="shared" si="35"/>
        <v>#N/A</v>
      </c>
      <c r="DT21" s="380" t="e">
        <f t="shared" si="35"/>
        <v>#N/A</v>
      </c>
      <c r="DU21" s="380" t="e">
        <f t="shared" si="35"/>
        <v>#N/A</v>
      </c>
      <c r="DV21" s="380" t="e">
        <f t="shared" si="35"/>
        <v>#N/A</v>
      </c>
      <c r="DW21" s="380" t="e">
        <f t="shared" si="35"/>
        <v>#N/A</v>
      </c>
      <c r="DX21" s="380" t="e">
        <f t="shared" si="35"/>
        <v>#N/A</v>
      </c>
      <c r="DY21" s="380" t="e">
        <f t="shared" si="37"/>
        <v>#N/A</v>
      </c>
      <c r="DZ21" s="378" t="e">
        <f t="shared" si="38"/>
        <v>#N/A</v>
      </c>
      <c r="EA21" s="378" t="e">
        <f t="shared" si="38"/>
        <v>#N/A</v>
      </c>
      <c r="EB21" s="378" t="e">
        <f t="shared" si="38"/>
        <v>#N/A</v>
      </c>
      <c r="EC21" s="378" t="e">
        <f t="shared" si="38"/>
        <v>#N/A</v>
      </c>
      <c r="ED21" s="378" t="e">
        <f t="shared" si="38"/>
        <v>#N/A</v>
      </c>
      <c r="EE21" s="378" t="e">
        <f t="shared" si="38"/>
        <v>#N/A</v>
      </c>
      <c r="EF21" s="378" t="e">
        <f t="shared" si="38"/>
        <v>#N/A</v>
      </c>
      <c r="EG21" s="378" t="e">
        <f t="shared" si="38"/>
        <v>#N/A</v>
      </c>
      <c r="EH21" s="378" t="e">
        <f t="shared" si="38"/>
        <v>#N/A</v>
      </c>
      <c r="EI21" s="378" t="e">
        <f t="shared" si="38"/>
        <v>#N/A</v>
      </c>
      <c r="EJ21" s="354" t="e">
        <f t="shared" si="40"/>
        <v>#N/A</v>
      </c>
      <c r="EK21" s="380" t="e">
        <f t="shared" si="41"/>
        <v>#N/A</v>
      </c>
      <c r="EL21" s="380" t="e">
        <f t="shared" si="41"/>
        <v>#N/A</v>
      </c>
      <c r="EM21" s="380" t="e">
        <f t="shared" si="41"/>
        <v>#N/A</v>
      </c>
      <c r="EN21" s="380" t="e">
        <f t="shared" si="41"/>
        <v>#N/A</v>
      </c>
      <c r="EO21" s="380" t="e">
        <f t="shared" si="41"/>
        <v>#N/A</v>
      </c>
      <c r="EP21" s="380" t="e">
        <f t="shared" si="41"/>
        <v>#N/A</v>
      </c>
      <c r="EQ21" s="380" t="e">
        <f t="shared" si="41"/>
        <v>#N/A</v>
      </c>
      <c r="ER21" s="380" t="e">
        <f t="shared" si="41"/>
        <v>#N/A</v>
      </c>
      <c r="ES21" s="380" t="e">
        <f t="shared" si="41"/>
        <v>#N/A</v>
      </c>
      <c r="ET21" s="380" t="e">
        <f t="shared" si="41"/>
        <v>#N/A</v>
      </c>
      <c r="EU21" s="379" t="e">
        <f t="shared" si="43"/>
        <v>#N/A</v>
      </c>
      <c r="EV21" s="381"/>
      <c r="EW21" s="382"/>
      <c r="EX21" s="382"/>
      <c r="EY21" s="382"/>
      <c r="EZ21" s="382"/>
      <c r="FA21" s="382"/>
      <c r="FB21" s="382"/>
      <c r="FE21" s="583" t="s">
        <v>1659</v>
      </c>
      <c r="FF21" s="583"/>
      <c r="FG21" s="583"/>
      <c r="FH21" s="583"/>
      <c r="FI21" s="583"/>
    </row>
    <row r="22" spans="1:165" ht="35" customHeight="1" x14ac:dyDescent="0.3">
      <c r="A22" s="330"/>
      <c r="B22" s="318"/>
      <c r="C22" s="318"/>
      <c r="D22" s="318"/>
      <c r="E22" s="318"/>
      <c r="F22" s="318"/>
      <c r="G22" s="318"/>
      <c r="H22" s="318"/>
      <c r="I22" s="318"/>
      <c r="J22" s="318"/>
      <c r="K22" s="318"/>
      <c r="L22" s="318"/>
      <c r="M22" s="318"/>
      <c r="N22" s="318"/>
      <c r="O22" s="318"/>
      <c r="P22" s="318"/>
      <c r="Q22" s="318"/>
      <c r="R22" s="318"/>
      <c r="S22" s="318"/>
      <c r="T22" s="318"/>
      <c r="U22" s="318"/>
      <c r="V22" s="318"/>
      <c r="W22" s="318"/>
      <c r="X22" s="318"/>
      <c r="Y22" s="318"/>
      <c r="Z22" s="318"/>
      <c r="AA22" s="318"/>
      <c r="AB22" s="318"/>
      <c r="AC22" s="318"/>
      <c r="AD22" s="318"/>
      <c r="AE22" s="318"/>
      <c r="AF22" s="318"/>
      <c r="AG22" s="318"/>
      <c r="AH22" s="318"/>
      <c r="AI22" s="318"/>
      <c r="AJ22" s="318"/>
      <c r="AK22" s="318"/>
      <c r="AL22" s="318"/>
      <c r="AM22" s="317"/>
      <c r="AN22" s="318"/>
      <c r="AO22" s="317"/>
      <c r="AP22" s="317"/>
      <c r="AQ22" s="317"/>
      <c r="AR22" s="317"/>
      <c r="AS22" s="317"/>
      <c r="AT22" s="317"/>
      <c r="AU22" s="318"/>
      <c r="AV22" s="318"/>
      <c r="AW22" s="318"/>
      <c r="AX22" s="318"/>
      <c r="AY22" s="318"/>
      <c r="AZ22" s="318"/>
      <c r="BA22" s="318"/>
      <c r="BB22" s="318"/>
      <c r="BC22" s="318"/>
      <c r="BD22" s="318"/>
      <c r="BE22" s="318"/>
      <c r="BF22" s="318"/>
      <c r="BG22" s="318"/>
      <c r="BH22" s="333"/>
      <c r="BI22" s="333"/>
      <c r="BJ22" s="333"/>
      <c r="BK22" s="333"/>
      <c r="BL22" s="333"/>
      <c r="BM22" s="333"/>
      <c r="BN22" s="333"/>
      <c r="BO22" s="333"/>
      <c r="BP22" s="333"/>
      <c r="BQ22" s="333"/>
      <c r="BR22" s="333"/>
      <c r="BS22" s="333"/>
      <c r="BT22" s="334"/>
      <c r="BU22" s="335"/>
      <c r="BV22" s="346"/>
      <c r="BY22" s="376"/>
      <c r="BZ22" s="373"/>
      <c r="CA22" s="373"/>
      <c r="CB22" s="373"/>
      <c r="CC22" s="373"/>
      <c r="CD22" s="373"/>
      <c r="CE22" s="373"/>
      <c r="CF22" s="373"/>
      <c r="CG22" s="373"/>
      <c r="CH22" s="378" t="e">
        <f t="shared" si="13"/>
        <v>#N/A</v>
      </c>
      <c r="CI22" s="378" t="e">
        <f t="shared" si="14"/>
        <v>#N/A</v>
      </c>
      <c r="CJ22" s="378" t="e">
        <f t="shared" si="15"/>
        <v>#N/A</v>
      </c>
      <c r="CK22" s="378" t="e">
        <f t="shared" si="16"/>
        <v>#N/A</v>
      </c>
      <c r="CL22" s="378" t="e">
        <f t="shared" si="17"/>
        <v>#N/A</v>
      </c>
      <c r="CM22" s="378" t="e">
        <f t="shared" si="18"/>
        <v>#N/A</v>
      </c>
      <c r="CN22" s="378" t="e">
        <f t="shared" si="19"/>
        <v>#N/A</v>
      </c>
      <c r="CO22" s="378" t="e">
        <f t="shared" si="20"/>
        <v>#N/A</v>
      </c>
      <c r="CP22" s="378" t="e">
        <f t="shared" si="21"/>
        <v>#N/A</v>
      </c>
      <c r="CQ22" s="378" t="e">
        <f t="shared" si="22"/>
        <v>#N/A</v>
      </c>
      <c r="CR22" s="354" t="e">
        <f t="shared" si="23"/>
        <v>#N/A</v>
      </c>
      <c r="CS22" s="379" t="e">
        <f>(HLOOKUP($AI22,'Inflation Adjustments'!$B$3:$BT$4,2,TRUE))*CH22</f>
        <v>#N/A</v>
      </c>
      <c r="CT22" s="379" t="e">
        <f>(HLOOKUP($AI22,'Inflation Adjustments'!$B$3:$BT$4,2,TRUE))*CI22</f>
        <v>#N/A</v>
      </c>
      <c r="CU22" s="379" t="e">
        <f>(HLOOKUP($AI22,'Inflation Adjustments'!$B$3:$BT$4,2,TRUE))*CJ22</f>
        <v>#N/A</v>
      </c>
      <c r="CV22" s="379" t="e">
        <f>(HLOOKUP($AI22,'Inflation Adjustments'!$B$3:$BT$4,2,TRUE))*CK22</f>
        <v>#N/A</v>
      </c>
      <c r="CW22" s="379" t="e">
        <f>(HLOOKUP($AI22,'Inflation Adjustments'!$B$3:$BT$4,2,TRUE))*CL22</f>
        <v>#N/A</v>
      </c>
      <c r="CX22" s="379" t="e">
        <f>(HLOOKUP($AI22,'Inflation Adjustments'!$B$3:$BT$4,2,TRUE))*CM22</f>
        <v>#N/A</v>
      </c>
      <c r="CY22" s="379" t="e">
        <f>(HLOOKUP($AI22,'Inflation Adjustments'!$B$3:$BT$4,2,TRUE))*CN22</f>
        <v>#N/A</v>
      </c>
      <c r="CZ22" s="379" t="e">
        <f>(HLOOKUP($AI22,'Inflation Adjustments'!$B$3:$BT$4,2,TRUE))*CO22</f>
        <v>#N/A</v>
      </c>
      <c r="DA22" s="379" t="e">
        <f>(HLOOKUP($AI22,'Inflation Adjustments'!$B$3:$BT$4,2,TRUE))*CP22</f>
        <v>#N/A</v>
      </c>
      <c r="DB22" s="379" t="e">
        <f>(HLOOKUP($AI22,'Inflation Adjustments'!$B$3:$BT$4,2,TRUE))*CQ22</f>
        <v>#N/A</v>
      </c>
      <c r="DC22" s="379" t="e">
        <f t="shared" si="24"/>
        <v>#N/A</v>
      </c>
      <c r="DD22" s="354">
        <f t="shared" si="25"/>
        <v>2022</v>
      </c>
      <c r="DE22" s="378" t="e">
        <f t="shared" si="26"/>
        <v>#N/A</v>
      </c>
      <c r="DF22" s="378" t="e">
        <f t="shared" si="27"/>
        <v>#N/A</v>
      </c>
      <c r="DG22" s="378" t="e">
        <f t="shared" si="28"/>
        <v>#N/A</v>
      </c>
      <c r="DH22" s="378" t="e">
        <f t="shared" si="29"/>
        <v>#N/A</v>
      </c>
      <c r="DI22" s="378" t="e">
        <f t="shared" si="30"/>
        <v>#N/A</v>
      </c>
      <c r="DJ22" s="378" t="e">
        <f t="shared" si="31"/>
        <v>#N/A</v>
      </c>
      <c r="DK22" s="378" t="e">
        <f t="shared" si="32"/>
        <v>#N/A</v>
      </c>
      <c r="DL22" s="378" t="e">
        <f t="shared" si="32"/>
        <v>#N/A</v>
      </c>
      <c r="DM22" s="378" t="e">
        <f t="shared" si="33"/>
        <v>#N/A</v>
      </c>
      <c r="DN22" s="378" t="e">
        <f t="shared" si="34"/>
        <v>#N/A</v>
      </c>
      <c r="DO22" s="380" t="e">
        <f t="shared" si="35"/>
        <v>#N/A</v>
      </c>
      <c r="DP22" s="380" t="e">
        <f t="shared" si="35"/>
        <v>#N/A</v>
      </c>
      <c r="DQ22" s="380" t="e">
        <f t="shared" si="35"/>
        <v>#N/A</v>
      </c>
      <c r="DR22" s="380" t="e">
        <f t="shared" si="35"/>
        <v>#N/A</v>
      </c>
      <c r="DS22" s="380" t="e">
        <f t="shared" si="35"/>
        <v>#N/A</v>
      </c>
      <c r="DT22" s="380" t="e">
        <f t="shared" si="35"/>
        <v>#N/A</v>
      </c>
      <c r="DU22" s="380" t="e">
        <f t="shared" si="35"/>
        <v>#N/A</v>
      </c>
      <c r="DV22" s="380" t="e">
        <f t="shared" si="35"/>
        <v>#N/A</v>
      </c>
      <c r="DW22" s="380" t="e">
        <f t="shared" si="35"/>
        <v>#N/A</v>
      </c>
      <c r="DX22" s="380" t="e">
        <f t="shared" si="35"/>
        <v>#N/A</v>
      </c>
      <c r="DY22" s="380" t="e">
        <f t="shared" si="37"/>
        <v>#N/A</v>
      </c>
      <c r="DZ22" s="378" t="e">
        <f t="shared" si="38"/>
        <v>#N/A</v>
      </c>
      <c r="EA22" s="378" t="e">
        <f t="shared" si="38"/>
        <v>#N/A</v>
      </c>
      <c r="EB22" s="378" t="e">
        <f t="shared" si="38"/>
        <v>#N/A</v>
      </c>
      <c r="EC22" s="378" t="e">
        <f t="shared" si="38"/>
        <v>#N/A</v>
      </c>
      <c r="ED22" s="378" t="e">
        <f t="shared" si="38"/>
        <v>#N/A</v>
      </c>
      <c r="EE22" s="378" t="e">
        <f t="shared" si="38"/>
        <v>#N/A</v>
      </c>
      <c r="EF22" s="378" t="e">
        <f t="shared" si="38"/>
        <v>#N/A</v>
      </c>
      <c r="EG22" s="378" t="e">
        <f t="shared" si="38"/>
        <v>#N/A</v>
      </c>
      <c r="EH22" s="378" t="e">
        <f t="shared" si="38"/>
        <v>#N/A</v>
      </c>
      <c r="EI22" s="378" t="e">
        <f t="shared" si="38"/>
        <v>#N/A</v>
      </c>
      <c r="EJ22" s="354" t="e">
        <f t="shared" si="40"/>
        <v>#N/A</v>
      </c>
      <c r="EK22" s="380" t="e">
        <f t="shared" si="41"/>
        <v>#N/A</v>
      </c>
      <c r="EL22" s="380" t="e">
        <f t="shared" si="41"/>
        <v>#N/A</v>
      </c>
      <c r="EM22" s="380" t="e">
        <f t="shared" si="41"/>
        <v>#N/A</v>
      </c>
      <c r="EN22" s="380" t="e">
        <f t="shared" si="41"/>
        <v>#N/A</v>
      </c>
      <c r="EO22" s="380" t="e">
        <f t="shared" si="41"/>
        <v>#N/A</v>
      </c>
      <c r="EP22" s="380" t="e">
        <f t="shared" si="41"/>
        <v>#N/A</v>
      </c>
      <c r="EQ22" s="380" t="e">
        <f t="shared" si="41"/>
        <v>#N/A</v>
      </c>
      <c r="ER22" s="380" t="e">
        <f t="shared" si="41"/>
        <v>#N/A</v>
      </c>
      <c r="ES22" s="380" t="e">
        <f t="shared" si="41"/>
        <v>#N/A</v>
      </c>
      <c r="ET22" s="380" t="e">
        <f t="shared" si="41"/>
        <v>#N/A</v>
      </c>
      <c r="EU22" s="379" t="e">
        <f t="shared" si="43"/>
        <v>#N/A</v>
      </c>
      <c r="EV22" s="381"/>
      <c r="EW22" s="382"/>
      <c r="EX22" s="382"/>
      <c r="EY22" s="382"/>
      <c r="EZ22" s="382"/>
      <c r="FA22" s="382"/>
      <c r="FB22" s="382"/>
      <c r="FE22" s="583" t="s">
        <v>1659</v>
      </c>
      <c r="FF22" s="583"/>
      <c r="FG22" s="583"/>
      <c r="FH22" s="583"/>
      <c r="FI22" s="583"/>
    </row>
    <row r="23" spans="1:165" ht="35" customHeight="1" x14ac:dyDescent="0.3">
      <c r="A23" s="330"/>
      <c r="B23" s="318"/>
      <c r="C23" s="318"/>
      <c r="D23" s="318"/>
      <c r="E23" s="318"/>
      <c r="F23" s="318"/>
      <c r="G23" s="318"/>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c r="AH23" s="318"/>
      <c r="AI23" s="318"/>
      <c r="AJ23" s="318"/>
      <c r="AK23" s="318"/>
      <c r="AL23" s="318"/>
      <c r="AM23" s="317"/>
      <c r="AN23" s="318"/>
      <c r="AO23" s="317"/>
      <c r="AP23" s="317"/>
      <c r="AQ23" s="317"/>
      <c r="AR23" s="317"/>
      <c r="AS23" s="317"/>
      <c r="AT23" s="317"/>
      <c r="AU23" s="318"/>
      <c r="AV23" s="318"/>
      <c r="AW23" s="318"/>
      <c r="AX23" s="318"/>
      <c r="AY23" s="318"/>
      <c r="AZ23" s="318"/>
      <c r="BA23" s="318"/>
      <c r="BB23" s="318"/>
      <c r="BC23" s="318"/>
      <c r="BD23" s="318"/>
      <c r="BE23" s="318"/>
      <c r="BF23" s="318"/>
      <c r="BG23" s="318"/>
      <c r="BH23" s="333"/>
      <c r="BI23" s="333"/>
      <c r="BJ23" s="333"/>
      <c r="BK23" s="333"/>
      <c r="BL23" s="333"/>
      <c r="BM23" s="333"/>
      <c r="BN23" s="333"/>
      <c r="BO23" s="333"/>
      <c r="BP23" s="333"/>
      <c r="BQ23" s="333"/>
      <c r="BR23" s="333"/>
      <c r="BS23" s="333"/>
      <c r="BT23" s="334"/>
      <c r="BU23" s="335"/>
      <c r="BV23" s="346"/>
      <c r="BY23" s="376"/>
      <c r="BZ23" s="373"/>
      <c r="CA23" s="373"/>
      <c r="CB23" s="373"/>
      <c r="CC23" s="373"/>
      <c r="CD23" s="373"/>
      <c r="CE23" s="373"/>
      <c r="CF23" s="373"/>
      <c r="CG23" s="373"/>
      <c r="CH23" s="378" t="e">
        <f t="shared" si="13"/>
        <v>#N/A</v>
      </c>
      <c r="CI23" s="378" t="e">
        <f t="shared" si="14"/>
        <v>#N/A</v>
      </c>
      <c r="CJ23" s="378" t="e">
        <f t="shared" si="15"/>
        <v>#N/A</v>
      </c>
      <c r="CK23" s="378" t="e">
        <f t="shared" si="16"/>
        <v>#N/A</v>
      </c>
      <c r="CL23" s="378" t="e">
        <f t="shared" si="17"/>
        <v>#N/A</v>
      </c>
      <c r="CM23" s="378" t="e">
        <f t="shared" si="18"/>
        <v>#N/A</v>
      </c>
      <c r="CN23" s="378" t="e">
        <f t="shared" si="19"/>
        <v>#N/A</v>
      </c>
      <c r="CO23" s="378" t="e">
        <f t="shared" si="20"/>
        <v>#N/A</v>
      </c>
      <c r="CP23" s="378" t="e">
        <f t="shared" si="21"/>
        <v>#N/A</v>
      </c>
      <c r="CQ23" s="378" t="e">
        <f t="shared" si="22"/>
        <v>#N/A</v>
      </c>
      <c r="CR23" s="354" t="e">
        <f>SUM(CH23:CQ23)</f>
        <v>#N/A</v>
      </c>
      <c r="CS23" s="379" t="e">
        <f>(HLOOKUP($AI23,'Inflation Adjustments'!$B$3:$BT$4,2,TRUE))*CH23</f>
        <v>#N/A</v>
      </c>
      <c r="CT23" s="379" t="e">
        <f>(HLOOKUP($AI23,'Inflation Adjustments'!$B$3:$BT$4,2,TRUE))*CI23</f>
        <v>#N/A</v>
      </c>
      <c r="CU23" s="379" t="e">
        <f>(HLOOKUP($AI23,'Inflation Adjustments'!$B$3:$BT$4,2,TRUE))*CJ23</f>
        <v>#N/A</v>
      </c>
      <c r="CV23" s="379" t="e">
        <f>(HLOOKUP($AI23,'Inflation Adjustments'!$B$3:$BT$4,2,TRUE))*CK23</f>
        <v>#N/A</v>
      </c>
      <c r="CW23" s="379" t="e">
        <f>(HLOOKUP($AI23,'Inflation Adjustments'!$B$3:$BT$4,2,TRUE))*CL23</f>
        <v>#N/A</v>
      </c>
      <c r="CX23" s="379" t="e">
        <f>(HLOOKUP($AI23,'Inflation Adjustments'!$B$3:$BT$4,2,TRUE))*CM23</f>
        <v>#N/A</v>
      </c>
      <c r="CY23" s="379" t="e">
        <f>(HLOOKUP($AI23,'Inflation Adjustments'!$B$3:$BT$4,2,TRUE))*CN23</f>
        <v>#N/A</v>
      </c>
      <c r="CZ23" s="379" t="e">
        <f>(HLOOKUP($AI23,'Inflation Adjustments'!$B$3:$BT$4,2,TRUE))*CO23</f>
        <v>#N/A</v>
      </c>
      <c r="DA23" s="379" t="e">
        <f>(HLOOKUP($AI23,'Inflation Adjustments'!$B$3:$BT$4,2,TRUE))*CP23</f>
        <v>#N/A</v>
      </c>
      <c r="DB23" s="379" t="e">
        <f>(HLOOKUP($AI23,'Inflation Adjustments'!$B$3:$BT$4,2,TRUE))*CQ23</f>
        <v>#N/A</v>
      </c>
      <c r="DC23" s="379" t="e">
        <f t="shared" si="24"/>
        <v>#N/A</v>
      </c>
      <c r="DD23" s="354">
        <f t="shared" si="25"/>
        <v>2022</v>
      </c>
      <c r="DE23" s="378" t="e">
        <f t="shared" si="26"/>
        <v>#N/A</v>
      </c>
      <c r="DF23" s="378" t="e">
        <f t="shared" si="27"/>
        <v>#N/A</v>
      </c>
      <c r="DG23" s="378" t="e">
        <f t="shared" si="28"/>
        <v>#N/A</v>
      </c>
      <c r="DH23" s="378" t="e">
        <f t="shared" si="29"/>
        <v>#N/A</v>
      </c>
      <c r="DI23" s="378" t="e">
        <f t="shared" si="30"/>
        <v>#N/A</v>
      </c>
      <c r="DJ23" s="378" t="e">
        <f t="shared" si="31"/>
        <v>#N/A</v>
      </c>
      <c r="DK23" s="378" t="e">
        <f t="shared" si="32"/>
        <v>#N/A</v>
      </c>
      <c r="DL23" s="378" t="e">
        <f t="shared" si="32"/>
        <v>#N/A</v>
      </c>
      <c r="DM23" s="378" t="e">
        <f t="shared" si="33"/>
        <v>#N/A</v>
      </c>
      <c r="DN23" s="378" t="e">
        <f t="shared" si="34"/>
        <v>#N/A</v>
      </c>
      <c r="DO23" s="380" t="e">
        <f t="shared" ref="DO23:DX34" si="44">CS23/DE23</f>
        <v>#N/A</v>
      </c>
      <c r="DP23" s="380" t="e">
        <f t="shared" si="44"/>
        <v>#N/A</v>
      </c>
      <c r="DQ23" s="380" t="e">
        <f t="shared" si="44"/>
        <v>#N/A</v>
      </c>
      <c r="DR23" s="380" t="e">
        <f t="shared" si="44"/>
        <v>#N/A</v>
      </c>
      <c r="DS23" s="380" t="e">
        <f t="shared" si="44"/>
        <v>#N/A</v>
      </c>
      <c r="DT23" s="380" t="e">
        <f t="shared" si="44"/>
        <v>#N/A</v>
      </c>
      <c r="DU23" s="380" t="e">
        <f t="shared" si="44"/>
        <v>#N/A</v>
      </c>
      <c r="DV23" s="380" t="e">
        <f t="shared" si="44"/>
        <v>#N/A</v>
      </c>
      <c r="DW23" s="380" t="e">
        <f t="shared" si="44"/>
        <v>#N/A</v>
      </c>
      <c r="DX23" s="380" t="e">
        <f t="shared" si="44"/>
        <v>#N/A</v>
      </c>
      <c r="DY23" s="380" t="e">
        <f>SUM(DO23:DX23)</f>
        <v>#N/A</v>
      </c>
      <c r="DZ23" s="378" t="e">
        <f t="shared" ref="DZ23:EI34" si="45">IF(DO23*$DD23&gt;CS23,CS23,DO23*$DD23)</f>
        <v>#N/A</v>
      </c>
      <c r="EA23" s="378" t="e">
        <f t="shared" si="45"/>
        <v>#N/A</v>
      </c>
      <c r="EB23" s="378" t="e">
        <f t="shared" si="45"/>
        <v>#N/A</v>
      </c>
      <c r="EC23" s="378" t="e">
        <f t="shared" si="45"/>
        <v>#N/A</v>
      </c>
      <c r="ED23" s="378" t="e">
        <f t="shared" si="45"/>
        <v>#N/A</v>
      </c>
      <c r="EE23" s="378" t="e">
        <f t="shared" si="45"/>
        <v>#N/A</v>
      </c>
      <c r="EF23" s="378" t="e">
        <f t="shared" si="45"/>
        <v>#N/A</v>
      </c>
      <c r="EG23" s="378" t="e">
        <f t="shared" si="45"/>
        <v>#N/A</v>
      </c>
      <c r="EH23" s="378" t="e">
        <f t="shared" si="45"/>
        <v>#N/A</v>
      </c>
      <c r="EI23" s="378" t="e">
        <f t="shared" si="45"/>
        <v>#N/A</v>
      </c>
      <c r="EJ23" s="354" t="e">
        <f>SUM(DZ23:EI23)</f>
        <v>#N/A</v>
      </c>
      <c r="EK23" s="380" t="e">
        <f t="shared" ref="EK23:ET34" si="46">IF(DO23&lt;(CS23-DZ23),DO23,(CS23-DZ23))</f>
        <v>#N/A</v>
      </c>
      <c r="EL23" s="380" t="e">
        <f t="shared" si="46"/>
        <v>#N/A</v>
      </c>
      <c r="EM23" s="380" t="e">
        <f t="shared" si="46"/>
        <v>#N/A</v>
      </c>
      <c r="EN23" s="380" t="e">
        <f t="shared" si="46"/>
        <v>#N/A</v>
      </c>
      <c r="EO23" s="380" t="e">
        <f t="shared" si="46"/>
        <v>#N/A</v>
      </c>
      <c r="EP23" s="380" t="e">
        <f t="shared" si="46"/>
        <v>#N/A</v>
      </c>
      <c r="EQ23" s="380" t="e">
        <f t="shared" si="46"/>
        <v>#N/A</v>
      </c>
      <c r="ER23" s="380" t="e">
        <f t="shared" si="46"/>
        <v>#N/A</v>
      </c>
      <c r="ES23" s="380" t="e">
        <f t="shared" si="46"/>
        <v>#N/A</v>
      </c>
      <c r="ET23" s="380" t="e">
        <f t="shared" si="46"/>
        <v>#N/A</v>
      </c>
      <c r="EU23" s="379" t="e">
        <f>SUM(EK23:ET23)</f>
        <v>#N/A</v>
      </c>
      <c r="EV23" s="381"/>
      <c r="EW23" s="382"/>
      <c r="EX23" s="382"/>
      <c r="EY23" s="382"/>
      <c r="EZ23" s="382"/>
      <c r="FA23" s="382"/>
      <c r="FB23" s="382"/>
      <c r="FE23" s="583" t="s">
        <v>1659</v>
      </c>
      <c r="FF23" s="583"/>
      <c r="FG23" s="583"/>
      <c r="FH23" s="583"/>
      <c r="FI23" s="583"/>
    </row>
    <row r="24" spans="1:165" ht="35" customHeight="1" x14ac:dyDescent="0.3">
      <c r="A24" s="330"/>
      <c r="B24" s="318"/>
      <c r="C24" s="318"/>
      <c r="D24" s="318"/>
      <c r="E24" s="318"/>
      <c r="F24" s="318"/>
      <c r="G24" s="318"/>
      <c r="H24" s="318"/>
      <c r="I24" s="318"/>
      <c r="J24" s="318"/>
      <c r="K24" s="318"/>
      <c r="L24" s="318"/>
      <c r="M24" s="318"/>
      <c r="N24" s="318"/>
      <c r="O24" s="318"/>
      <c r="P24" s="318"/>
      <c r="Q24" s="318"/>
      <c r="R24" s="318"/>
      <c r="S24" s="318"/>
      <c r="T24" s="318"/>
      <c r="U24" s="318"/>
      <c r="V24" s="318"/>
      <c r="W24" s="318"/>
      <c r="X24" s="318"/>
      <c r="Y24" s="318"/>
      <c r="Z24" s="318"/>
      <c r="AA24" s="318"/>
      <c r="AB24" s="318"/>
      <c r="AC24" s="318"/>
      <c r="AD24" s="318"/>
      <c r="AE24" s="318"/>
      <c r="AF24" s="318"/>
      <c r="AG24" s="318"/>
      <c r="AH24" s="318"/>
      <c r="AI24" s="318"/>
      <c r="AJ24" s="318"/>
      <c r="AK24" s="318"/>
      <c r="AL24" s="318"/>
      <c r="AM24" s="317"/>
      <c r="AN24" s="318"/>
      <c r="AO24" s="317"/>
      <c r="AP24" s="317"/>
      <c r="AQ24" s="317"/>
      <c r="AR24" s="317"/>
      <c r="AS24" s="317"/>
      <c r="AT24" s="317"/>
      <c r="AU24" s="318"/>
      <c r="AV24" s="318"/>
      <c r="AW24" s="318"/>
      <c r="AX24" s="318"/>
      <c r="AY24" s="318"/>
      <c r="AZ24" s="318"/>
      <c r="BA24" s="318"/>
      <c r="BB24" s="318"/>
      <c r="BC24" s="318"/>
      <c r="BD24" s="318"/>
      <c r="BE24" s="318"/>
      <c r="BF24" s="318"/>
      <c r="BG24" s="318"/>
      <c r="BH24" s="333"/>
      <c r="BI24" s="333"/>
      <c r="BJ24" s="333"/>
      <c r="BK24" s="333"/>
      <c r="BL24" s="333"/>
      <c r="BM24" s="333"/>
      <c r="BN24" s="333"/>
      <c r="BO24" s="333"/>
      <c r="BP24" s="333"/>
      <c r="BQ24" s="333"/>
      <c r="BR24" s="333"/>
      <c r="BS24" s="333"/>
      <c r="BT24" s="334"/>
      <c r="BU24" s="335"/>
      <c r="BV24" s="346"/>
      <c r="BY24" s="376"/>
      <c r="BZ24" s="373"/>
      <c r="CA24" s="373"/>
      <c r="CB24" s="373"/>
      <c r="CC24" s="373"/>
      <c r="CD24" s="373"/>
      <c r="CE24" s="373"/>
      <c r="CF24" s="373"/>
      <c r="CG24" s="373"/>
      <c r="CH24" s="378" t="e">
        <f t="shared" si="13"/>
        <v>#N/A</v>
      </c>
      <c r="CI24" s="378" t="e">
        <f t="shared" si="14"/>
        <v>#N/A</v>
      </c>
      <c r="CJ24" s="378" t="e">
        <f t="shared" si="15"/>
        <v>#N/A</v>
      </c>
      <c r="CK24" s="378" t="e">
        <f t="shared" si="16"/>
        <v>#N/A</v>
      </c>
      <c r="CL24" s="378" t="e">
        <f t="shared" si="17"/>
        <v>#N/A</v>
      </c>
      <c r="CM24" s="378" t="e">
        <f t="shared" si="18"/>
        <v>#N/A</v>
      </c>
      <c r="CN24" s="378" t="e">
        <f t="shared" si="19"/>
        <v>#N/A</v>
      </c>
      <c r="CO24" s="378" t="e">
        <f t="shared" si="20"/>
        <v>#N/A</v>
      </c>
      <c r="CP24" s="378" t="e">
        <f t="shared" si="21"/>
        <v>#N/A</v>
      </c>
      <c r="CQ24" s="378" t="e">
        <f t="shared" si="22"/>
        <v>#N/A</v>
      </c>
      <c r="CR24" s="354" t="e">
        <f>SUM(CH24:CQ24)</f>
        <v>#N/A</v>
      </c>
      <c r="CS24" s="379" t="e">
        <f>(HLOOKUP($AI24,'Inflation Adjustments'!$B$3:$BT$4,2,TRUE))*CH24</f>
        <v>#N/A</v>
      </c>
      <c r="CT24" s="379" t="e">
        <f>(HLOOKUP($AI24,'Inflation Adjustments'!$B$3:$BT$4,2,TRUE))*CI24</f>
        <v>#N/A</v>
      </c>
      <c r="CU24" s="379" t="e">
        <f>(HLOOKUP($AI24,'Inflation Adjustments'!$B$3:$BT$4,2,TRUE))*CJ24</f>
        <v>#N/A</v>
      </c>
      <c r="CV24" s="379" t="e">
        <f>(HLOOKUP($AI24,'Inflation Adjustments'!$B$3:$BT$4,2,TRUE))*CK24</f>
        <v>#N/A</v>
      </c>
      <c r="CW24" s="379" t="e">
        <f>(HLOOKUP($AI24,'Inflation Adjustments'!$B$3:$BT$4,2,TRUE))*CL24</f>
        <v>#N/A</v>
      </c>
      <c r="CX24" s="379" t="e">
        <f>(HLOOKUP($AI24,'Inflation Adjustments'!$B$3:$BT$4,2,TRUE))*CM24</f>
        <v>#N/A</v>
      </c>
      <c r="CY24" s="379" t="e">
        <f>(HLOOKUP($AI24,'Inflation Adjustments'!$B$3:$BT$4,2,TRUE))*CN24</f>
        <v>#N/A</v>
      </c>
      <c r="CZ24" s="379" t="e">
        <f>(HLOOKUP($AI24,'Inflation Adjustments'!$B$3:$BT$4,2,TRUE))*CO24</f>
        <v>#N/A</v>
      </c>
      <c r="DA24" s="379" t="e">
        <f>(HLOOKUP($AI24,'Inflation Adjustments'!$B$3:$BT$4,2,TRUE))*CP24</f>
        <v>#N/A</v>
      </c>
      <c r="DB24" s="379" t="e">
        <f>(HLOOKUP($AI24,'Inflation Adjustments'!$B$3:$BT$4,2,TRUE))*CQ24</f>
        <v>#N/A</v>
      </c>
      <c r="DC24" s="379" t="e">
        <f t="shared" si="24"/>
        <v>#N/A</v>
      </c>
      <c r="DD24" s="354">
        <f t="shared" si="25"/>
        <v>2022</v>
      </c>
      <c r="DE24" s="378" t="e">
        <f t="shared" si="26"/>
        <v>#N/A</v>
      </c>
      <c r="DF24" s="378" t="e">
        <f t="shared" si="27"/>
        <v>#N/A</v>
      </c>
      <c r="DG24" s="378" t="e">
        <f t="shared" si="28"/>
        <v>#N/A</v>
      </c>
      <c r="DH24" s="378" t="e">
        <f t="shared" si="29"/>
        <v>#N/A</v>
      </c>
      <c r="DI24" s="378" t="e">
        <f t="shared" si="30"/>
        <v>#N/A</v>
      </c>
      <c r="DJ24" s="378" t="e">
        <f t="shared" si="31"/>
        <v>#N/A</v>
      </c>
      <c r="DK24" s="378" t="e">
        <f t="shared" si="32"/>
        <v>#N/A</v>
      </c>
      <c r="DL24" s="378" t="e">
        <f t="shared" si="32"/>
        <v>#N/A</v>
      </c>
      <c r="DM24" s="378" t="e">
        <f t="shared" si="33"/>
        <v>#N/A</v>
      </c>
      <c r="DN24" s="378" t="e">
        <f t="shared" si="34"/>
        <v>#N/A</v>
      </c>
      <c r="DO24" s="380" t="e">
        <f t="shared" si="44"/>
        <v>#N/A</v>
      </c>
      <c r="DP24" s="380" t="e">
        <f t="shared" si="44"/>
        <v>#N/A</v>
      </c>
      <c r="DQ24" s="380" t="e">
        <f t="shared" si="44"/>
        <v>#N/A</v>
      </c>
      <c r="DR24" s="380" t="e">
        <f t="shared" si="44"/>
        <v>#N/A</v>
      </c>
      <c r="DS24" s="380" t="e">
        <f t="shared" si="44"/>
        <v>#N/A</v>
      </c>
      <c r="DT24" s="380" t="e">
        <f t="shared" si="44"/>
        <v>#N/A</v>
      </c>
      <c r="DU24" s="380" t="e">
        <f t="shared" si="44"/>
        <v>#N/A</v>
      </c>
      <c r="DV24" s="380" t="e">
        <f t="shared" si="44"/>
        <v>#N/A</v>
      </c>
      <c r="DW24" s="380" t="e">
        <f t="shared" si="44"/>
        <v>#N/A</v>
      </c>
      <c r="DX24" s="380" t="e">
        <f t="shared" si="44"/>
        <v>#N/A</v>
      </c>
      <c r="DY24" s="380" t="e">
        <f>SUM(DO24:DX24)</f>
        <v>#N/A</v>
      </c>
      <c r="DZ24" s="378" t="e">
        <f t="shared" si="45"/>
        <v>#N/A</v>
      </c>
      <c r="EA24" s="378" t="e">
        <f t="shared" si="45"/>
        <v>#N/A</v>
      </c>
      <c r="EB24" s="378" t="e">
        <f t="shared" si="45"/>
        <v>#N/A</v>
      </c>
      <c r="EC24" s="378" t="e">
        <f t="shared" si="45"/>
        <v>#N/A</v>
      </c>
      <c r="ED24" s="378" t="e">
        <f t="shared" si="45"/>
        <v>#N/A</v>
      </c>
      <c r="EE24" s="378" t="e">
        <f t="shared" si="45"/>
        <v>#N/A</v>
      </c>
      <c r="EF24" s="378" t="e">
        <f t="shared" si="45"/>
        <v>#N/A</v>
      </c>
      <c r="EG24" s="378" t="e">
        <f t="shared" si="45"/>
        <v>#N/A</v>
      </c>
      <c r="EH24" s="378" t="e">
        <f t="shared" si="45"/>
        <v>#N/A</v>
      </c>
      <c r="EI24" s="378" t="e">
        <f t="shared" si="45"/>
        <v>#N/A</v>
      </c>
      <c r="EJ24" s="354" t="e">
        <f>SUM(DZ24:EI24)</f>
        <v>#N/A</v>
      </c>
      <c r="EK24" s="380" t="e">
        <f t="shared" si="46"/>
        <v>#N/A</v>
      </c>
      <c r="EL24" s="380" t="e">
        <f t="shared" si="46"/>
        <v>#N/A</v>
      </c>
      <c r="EM24" s="380" t="e">
        <f t="shared" si="46"/>
        <v>#N/A</v>
      </c>
      <c r="EN24" s="380" t="e">
        <f t="shared" si="46"/>
        <v>#N/A</v>
      </c>
      <c r="EO24" s="380" t="e">
        <f t="shared" si="46"/>
        <v>#N/A</v>
      </c>
      <c r="EP24" s="380" t="e">
        <f t="shared" si="46"/>
        <v>#N/A</v>
      </c>
      <c r="EQ24" s="380" t="e">
        <f t="shared" si="46"/>
        <v>#N/A</v>
      </c>
      <c r="ER24" s="380" t="e">
        <f t="shared" si="46"/>
        <v>#N/A</v>
      </c>
      <c r="ES24" s="380" t="e">
        <f t="shared" si="46"/>
        <v>#N/A</v>
      </c>
      <c r="ET24" s="380" t="e">
        <f t="shared" si="46"/>
        <v>#N/A</v>
      </c>
      <c r="EU24" s="379" t="e">
        <f>SUM(EK24:ET24)</f>
        <v>#N/A</v>
      </c>
      <c r="EV24" s="381"/>
      <c r="EW24" s="382"/>
      <c r="EX24" s="382"/>
      <c r="EY24" s="382"/>
      <c r="EZ24" s="382"/>
      <c r="FA24" s="382"/>
      <c r="FB24" s="382"/>
      <c r="FE24" s="583" t="s">
        <v>1663</v>
      </c>
      <c r="FF24" s="583"/>
      <c r="FG24" s="583"/>
      <c r="FH24" s="583"/>
      <c r="FI24" s="583"/>
    </row>
    <row r="25" spans="1:165" ht="35" customHeight="1" x14ac:dyDescent="0.3">
      <c r="A25" s="330"/>
      <c r="B25" s="318"/>
      <c r="C25" s="318"/>
      <c r="D25" s="318"/>
      <c r="E25" s="318"/>
      <c r="F25" s="318"/>
      <c r="G25" s="318"/>
      <c r="H25" s="318"/>
      <c r="I25" s="318"/>
      <c r="J25" s="318"/>
      <c r="K25" s="318"/>
      <c r="L25" s="318"/>
      <c r="M25" s="318"/>
      <c r="N25" s="318"/>
      <c r="O25" s="318"/>
      <c r="P25" s="318"/>
      <c r="Q25" s="318"/>
      <c r="R25" s="318"/>
      <c r="S25" s="318"/>
      <c r="T25" s="318"/>
      <c r="U25" s="318"/>
      <c r="V25" s="318"/>
      <c r="W25" s="318"/>
      <c r="X25" s="318"/>
      <c r="Y25" s="318"/>
      <c r="Z25" s="318"/>
      <c r="AA25" s="318"/>
      <c r="AB25" s="318"/>
      <c r="AC25" s="318"/>
      <c r="AD25" s="318"/>
      <c r="AE25" s="318"/>
      <c r="AF25" s="318"/>
      <c r="AG25" s="318"/>
      <c r="AH25" s="318"/>
      <c r="AI25" s="318"/>
      <c r="AJ25" s="318"/>
      <c r="AK25" s="318"/>
      <c r="AL25" s="318"/>
      <c r="AM25" s="317"/>
      <c r="AN25" s="318"/>
      <c r="AO25" s="317"/>
      <c r="AP25" s="317"/>
      <c r="AQ25" s="317"/>
      <c r="AR25" s="317"/>
      <c r="AS25" s="317"/>
      <c r="AT25" s="317"/>
      <c r="AU25" s="318"/>
      <c r="AV25" s="318"/>
      <c r="AW25" s="318"/>
      <c r="AX25" s="318"/>
      <c r="AY25" s="318"/>
      <c r="AZ25" s="318"/>
      <c r="BA25" s="318"/>
      <c r="BB25" s="318"/>
      <c r="BC25" s="318"/>
      <c r="BD25" s="318"/>
      <c r="BE25" s="318"/>
      <c r="BF25" s="318"/>
      <c r="BG25" s="318"/>
      <c r="BH25" s="333"/>
      <c r="BI25" s="333"/>
      <c r="BJ25" s="333"/>
      <c r="BK25" s="333"/>
      <c r="BL25" s="333"/>
      <c r="BM25" s="333"/>
      <c r="BN25" s="333"/>
      <c r="BO25" s="333"/>
      <c r="BP25" s="333"/>
      <c r="BQ25" s="333"/>
      <c r="BR25" s="333"/>
      <c r="BS25" s="333"/>
      <c r="BT25" s="334"/>
      <c r="BU25" s="335"/>
      <c r="BV25" s="346"/>
      <c r="BY25" s="376"/>
      <c r="BZ25" s="373"/>
      <c r="CA25" s="373"/>
      <c r="CB25" s="373"/>
      <c r="CC25" s="373"/>
      <c r="CD25" s="373"/>
      <c r="CE25" s="373"/>
      <c r="CF25" s="373"/>
      <c r="CG25" s="373"/>
      <c r="CH25" s="378" t="e">
        <f t="shared" si="13"/>
        <v>#N/A</v>
      </c>
      <c r="CI25" s="378" t="e">
        <f t="shared" si="14"/>
        <v>#N/A</v>
      </c>
      <c r="CJ25" s="378" t="e">
        <f t="shared" si="15"/>
        <v>#N/A</v>
      </c>
      <c r="CK25" s="378" t="e">
        <f t="shared" si="16"/>
        <v>#N/A</v>
      </c>
      <c r="CL25" s="378" t="e">
        <f t="shared" si="17"/>
        <v>#N/A</v>
      </c>
      <c r="CM25" s="378" t="e">
        <f t="shared" si="18"/>
        <v>#N/A</v>
      </c>
      <c r="CN25" s="378" t="e">
        <f t="shared" si="19"/>
        <v>#N/A</v>
      </c>
      <c r="CO25" s="378" t="e">
        <f t="shared" si="20"/>
        <v>#N/A</v>
      </c>
      <c r="CP25" s="378" t="e">
        <f t="shared" si="21"/>
        <v>#N/A</v>
      </c>
      <c r="CQ25" s="378" t="e">
        <f t="shared" si="22"/>
        <v>#N/A</v>
      </c>
      <c r="CR25" s="354" t="e">
        <f t="shared" ref="CR25:CR26" si="47">SUM(CH25:CQ25)</f>
        <v>#N/A</v>
      </c>
      <c r="CS25" s="379" t="e">
        <f>(HLOOKUP($AI25,'Inflation Adjustments'!$B$3:$BT$4,2,TRUE))*CH25</f>
        <v>#N/A</v>
      </c>
      <c r="CT25" s="379" t="e">
        <f>(HLOOKUP($AI25,'Inflation Adjustments'!$B$3:$BT$4,2,TRUE))*CI25</f>
        <v>#N/A</v>
      </c>
      <c r="CU25" s="379" t="e">
        <f>(HLOOKUP($AI25,'Inflation Adjustments'!$B$3:$BT$4,2,TRUE))*CJ25</f>
        <v>#N/A</v>
      </c>
      <c r="CV25" s="379" t="e">
        <f>(HLOOKUP($AI25,'Inflation Adjustments'!$B$3:$BT$4,2,TRUE))*CK25</f>
        <v>#N/A</v>
      </c>
      <c r="CW25" s="379" t="e">
        <f>(HLOOKUP($AI25,'Inflation Adjustments'!$B$3:$BT$4,2,TRUE))*CL25</f>
        <v>#N/A</v>
      </c>
      <c r="CX25" s="379" t="e">
        <f>(HLOOKUP($AI25,'Inflation Adjustments'!$B$3:$BT$4,2,TRUE))*CM25</f>
        <v>#N/A</v>
      </c>
      <c r="CY25" s="379" t="e">
        <f>(HLOOKUP($AI25,'Inflation Adjustments'!$B$3:$BT$4,2,TRUE))*CN25</f>
        <v>#N/A</v>
      </c>
      <c r="CZ25" s="379" t="e">
        <f>(HLOOKUP($AI25,'Inflation Adjustments'!$B$3:$BT$4,2,TRUE))*CO25</f>
        <v>#N/A</v>
      </c>
      <c r="DA25" s="379" t="e">
        <f>(HLOOKUP($AI25,'Inflation Adjustments'!$B$3:$BT$4,2,TRUE))*CP25</f>
        <v>#N/A</v>
      </c>
      <c r="DB25" s="379" t="e">
        <f>(HLOOKUP($AI25,'Inflation Adjustments'!$B$3:$BT$4,2,TRUE))*CQ25</f>
        <v>#N/A</v>
      </c>
      <c r="DC25" s="379" t="e">
        <f t="shared" si="24"/>
        <v>#N/A</v>
      </c>
      <c r="DD25" s="354">
        <f t="shared" si="25"/>
        <v>2022</v>
      </c>
      <c r="DE25" s="378" t="e">
        <f t="shared" si="26"/>
        <v>#N/A</v>
      </c>
      <c r="DF25" s="378" t="e">
        <f t="shared" si="27"/>
        <v>#N/A</v>
      </c>
      <c r="DG25" s="378" t="e">
        <f t="shared" si="28"/>
        <v>#N/A</v>
      </c>
      <c r="DH25" s="378" t="e">
        <f t="shared" si="29"/>
        <v>#N/A</v>
      </c>
      <c r="DI25" s="378" t="e">
        <f t="shared" si="30"/>
        <v>#N/A</v>
      </c>
      <c r="DJ25" s="378" t="e">
        <f t="shared" si="31"/>
        <v>#N/A</v>
      </c>
      <c r="DK25" s="378" t="e">
        <f t="shared" ref="DK25:DL34" si="48">(HLOOKUP(Z25,$CD$4:$CG$14,8,FALSE))</f>
        <v>#N/A</v>
      </c>
      <c r="DL25" s="378" t="e">
        <f t="shared" si="48"/>
        <v>#N/A</v>
      </c>
      <c r="DM25" s="378" t="e">
        <f t="shared" si="33"/>
        <v>#N/A</v>
      </c>
      <c r="DN25" s="378" t="e">
        <f t="shared" si="34"/>
        <v>#N/A</v>
      </c>
      <c r="DO25" s="380" t="e">
        <f t="shared" si="44"/>
        <v>#N/A</v>
      </c>
      <c r="DP25" s="380" t="e">
        <f t="shared" si="44"/>
        <v>#N/A</v>
      </c>
      <c r="DQ25" s="380" t="e">
        <f t="shared" si="44"/>
        <v>#N/A</v>
      </c>
      <c r="DR25" s="380" t="e">
        <f t="shared" si="44"/>
        <v>#N/A</v>
      </c>
      <c r="DS25" s="380" t="e">
        <f t="shared" si="44"/>
        <v>#N/A</v>
      </c>
      <c r="DT25" s="380" t="e">
        <f t="shared" si="44"/>
        <v>#N/A</v>
      </c>
      <c r="DU25" s="380" t="e">
        <f t="shared" si="44"/>
        <v>#N/A</v>
      </c>
      <c r="DV25" s="380" t="e">
        <f t="shared" si="44"/>
        <v>#N/A</v>
      </c>
      <c r="DW25" s="380" t="e">
        <f t="shared" si="44"/>
        <v>#N/A</v>
      </c>
      <c r="DX25" s="380" t="e">
        <f t="shared" si="44"/>
        <v>#N/A</v>
      </c>
      <c r="DY25" s="380" t="e">
        <f t="shared" ref="DY25:DY26" si="49">SUM(DO25:DX25)</f>
        <v>#N/A</v>
      </c>
      <c r="DZ25" s="378" t="e">
        <f t="shared" si="45"/>
        <v>#N/A</v>
      </c>
      <c r="EA25" s="378" t="e">
        <f t="shared" si="45"/>
        <v>#N/A</v>
      </c>
      <c r="EB25" s="378" t="e">
        <f t="shared" si="45"/>
        <v>#N/A</v>
      </c>
      <c r="EC25" s="378" t="e">
        <f t="shared" si="45"/>
        <v>#N/A</v>
      </c>
      <c r="ED25" s="378" t="e">
        <f t="shared" si="45"/>
        <v>#N/A</v>
      </c>
      <c r="EE25" s="378" t="e">
        <f t="shared" si="45"/>
        <v>#N/A</v>
      </c>
      <c r="EF25" s="378" t="e">
        <f t="shared" si="45"/>
        <v>#N/A</v>
      </c>
      <c r="EG25" s="378" t="e">
        <f t="shared" si="45"/>
        <v>#N/A</v>
      </c>
      <c r="EH25" s="378" t="e">
        <f t="shared" si="45"/>
        <v>#N/A</v>
      </c>
      <c r="EI25" s="378" t="e">
        <f t="shared" si="45"/>
        <v>#N/A</v>
      </c>
      <c r="EJ25" s="354" t="e">
        <f t="shared" ref="EJ25:EJ34" si="50">SUM(DZ25:EI25)</f>
        <v>#N/A</v>
      </c>
      <c r="EK25" s="380" t="e">
        <f t="shared" si="46"/>
        <v>#N/A</v>
      </c>
      <c r="EL25" s="380" t="e">
        <f t="shared" si="46"/>
        <v>#N/A</v>
      </c>
      <c r="EM25" s="380" t="e">
        <f t="shared" si="46"/>
        <v>#N/A</v>
      </c>
      <c r="EN25" s="380" t="e">
        <f t="shared" si="46"/>
        <v>#N/A</v>
      </c>
      <c r="EO25" s="380" t="e">
        <f t="shared" si="46"/>
        <v>#N/A</v>
      </c>
      <c r="EP25" s="380" t="e">
        <f t="shared" si="46"/>
        <v>#N/A</v>
      </c>
      <c r="EQ25" s="380" t="e">
        <f t="shared" si="46"/>
        <v>#N/A</v>
      </c>
      <c r="ER25" s="380" t="e">
        <f t="shared" si="46"/>
        <v>#N/A</v>
      </c>
      <c r="ES25" s="380" t="e">
        <f t="shared" si="46"/>
        <v>#N/A</v>
      </c>
      <c r="ET25" s="380" t="e">
        <f t="shared" si="46"/>
        <v>#N/A</v>
      </c>
      <c r="EU25" s="379" t="e">
        <f t="shared" ref="EU25:EU34" si="51">SUM(EK25:ET25)</f>
        <v>#N/A</v>
      </c>
      <c r="EV25" s="381"/>
      <c r="EW25" s="382"/>
      <c r="EX25" s="382"/>
      <c r="EY25" s="382"/>
      <c r="EZ25" s="382"/>
      <c r="FA25" s="382"/>
      <c r="FB25" s="382"/>
      <c r="FE25" s="583"/>
      <c r="FF25" s="583"/>
      <c r="FG25" s="583"/>
      <c r="FH25" s="583"/>
      <c r="FI25" s="583"/>
    </row>
    <row r="26" spans="1:165" ht="35" customHeight="1" x14ac:dyDescent="0.3">
      <c r="A26" s="330"/>
      <c r="B26" s="318"/>
      <c r="C26" s="318"/>
      <c r="D26" s="318"/>
      <c r="E26" s="318"/>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8"/>
      <c r="AM26" s="317"/>
      <c r="AN26" s="318"/>
      <c r="AO26" s="317"/>
      <c r="AP26" s="317"/>
      <c r="AQ26" s="317"/>
      <c r="AR26" s="317"/>
      <c r="AS26" s="317"/>
      <c r="AT26" s="317"/>
      <c r="AU26" s="318"/>
      <c r="AV26" s="318"/>
      <c r="AW26" s="318"/>
      <c r="AX26" s="318"/>
      <c r="AY26" s="318"/>
      <c r="AZ26" s="318"/>
      <c r="BA26" s="318"/>
      <c r="BB26" s="318"/>
      <c r="BC26" s="318"/>
      <c r="BD26" s="318"/>
      <c r="BE26" s="318"/>
      <c r="BF26" s="318"/>
      <c r="BG26" s="318"/>
      <c r="BH26" s="333"/>
      <c r="BI26" s="333"/>
      <c r="BJ26" s="333"/>
      <c r="BK26" s="333"/>
      <c r="BL26" s="333"/>
      <c r="BM26" s="333"/>
      <c r="BN26" s="333"/>
      <c r="BO26" s="333"/>
      <c r="BP26" s="333"/>
      <c r="BQ26" s="333"/>
      <c r="BR26" s="333"/>
      <c r="BS26" s="333"/>
      <c r="BT26" s="334"/>
      <c r="BU26" s="335"/>
      <c r="BV26" s="346"/>
      <c r="BY26" s="376"/>
      <c r="BZ26" s="373"/>
      <c r="CA26" s="373"/>
      <c r="CB26" s="373"/>
      <c r="CC26" s="373"/>
      <c r="CD26" s="373"/>
      <c r="CE26" s="373"/>
      <c r="CF26" s="373"/>
      <c r="CG26" s="373"/>
      <c r="CH26" s="378" t="e">
        <f t="shared" si="13"/>
        <v>#N/A</v>
      </c>
      <c r="CI26" s="378" t="e">
        <f t="shared" si="14"/>
        <v>#N/A</v>
      </c>
      <c r="CJ26" s="378" t="e">
        <f t="shared" si="15"/>
        <v>#N/A</v>
      </c>
      <c r="CK26" s="378" t="e">
        <f t="shared" si="16"/>
        <v>#N/A</v>
      </c>
      <c r="CL26" s="378" t="e">
        <f t="shared" si="17"/>
        <v>#N/A</v>
      </c>
      <c r="CM26" s="378" t="e">
        <f t="shared" si="18"/>
        <v>#N/A</v>
      </c>
      <c r="CN26" s="378" t="e">
        <f t="shared" si="19"/>
        <v>#N/A</v>
      </c>
      <c r="CO26" s="378" t="e">
        <f t="shared" si="20"/>
        <v>#N/A</v>
      </c>
      <c r="CP26" s="378" t="e">
        <f t="shared" si="21"/>
        <v>#N/A</v>
      </c>
      <c r="CQ26" s="378" t="e">
        <f t="shared" si="22"/>
        <v>#N/A</v>
      </c>
      <c r="CR26" s="354" t="e">
        <f t="shared" si="47"/>
        <v>#N/A</v>
      </c>
      <c r="CS26" s="379" t="e">
        <f>(HLOOKUP($AI26,'Inflation Adjustments'!$B$3:$BT$4,2,TRUE))*CH26</f>
        <v>#N/A</v>
      </c>
      <c r="CT26" s="379" t="e">
        <f>(HLOOKUP($AI26,'Inflation Adjustments'!$B$3:$BT$4,2,TRUE))*CI26</f>
        <v>#N/A</v>
      </c>
      <c r="CU26" s="379" t="e">
        <f>(HLOOKUP($AI26,'Inflation Adjustments'!$B$3:$BT$4,2,TRUE))*CJ26</f>
        <v>#N/A</v>
      </c>
      <c r="CV26" s="379" t="e">
        <f>(HLOOKUP($AI26,'Inflation Adjustments'!$B$3:$BT$4,2,TRUE))*CK26</f>
        <v>#N/A</v>
      </c>
      <c r="CW26" s="379" t="e">
        <f>(HLOOKUP($AI26,'Inflation Adjustments'!$B$3:$BT$4,2,TRUE))*CL26</f>
        <v>#N/A</v>
      </c>
      <c r="CX26" s="379" t="e">
        <f>(HLOOKUP($AI26,'Inflation Adjustments'!$B$3:$BT$4,2,TRUE))*CM26</f>
        <v>#N/A</v>
      </c>
      <c r="CY26" s="379" t="e">
        <f>(HLOOKUP($AI26,'Inflation Adjustments'!$B$3:$BT$4,2,TRUE))*CN26</f>
        <v>#N/A</v>
      </c>
      <c r="CZ26" s="379" t="e">
        <f>(HLOOKUP($AI26,'Inflation Adjustments'!$B$3:$BT$4,2,TRUE))*CO26</f>
        <v>#N/A</v>
      </c>
      <c r="DA26" s="379" t="e">
        <f>(HLOOKUP($AI26,'Inflation Adjustments'!$B$3:$BT$4,2,TRUE))*CP26</f>
        <v>#N/A</v>
      </c>
      <c r="DB26" s="379" t="e">
        <f>(HLOOKUP($AI26,'Inflation Adjustments'!$B$3:$BT$4,2,TRUE))*CQ26</f>
        <v>#N/A</v>
      </c>
      <c r="DC26" s="379" t="e">
        <f t="shared" si="24"/>
        <v>#N/A</v>
      </c>
      <c r="DD26" s="354">
        <f t="shared" si="25"/>
        <v>2022</v>
      </c>
      <c r="DE26" s="378" t="e">
        <f t="shared" si="26"/>
        <v>#N/A</v>
      </c>
      <c r="DF26" s="378" t="e">
        <f t="shared" si="27"/>
        <v>#N/A</v>
      </c>
      <c r="DG26" s="378" t="e">
        <f t="shared" si="28"/>
        <v>#N/A</v>
      </c>
      <c r="DH26" s="378" t="e">
        <f t="shared" si="29"/>
        <v>#N/A</v>
      </c>
      <c r="DI26" s="378" t="e">
        <f t="shared" si="30"/>
        <v>#N/A</v>
      </c>
      <c r="DJ26" s="378" t="e">
        <f t="shared" si="31"/>
        <v>#N/A</v>
      </c>
      <c r="DK26" s="378" t="e">
        <f t="shared" si="48"/>
        <v>#N/A</v>
      </c>
      <c r="DL26" s="378" t="e">
        <f t="shared" si="48"/>
        <v>#N/A</v>
      </c>
      <c r="DM26" s="378" t="e">
        <f t="shared" si="33"/>
        <v>#N/A</v>
      </c>
      <c r="DN26" s="378" t="e">
        <f t="shared" si="34"/>
        <v>#N/A</v>
      </c>
      <c r="DO26" s="380" t="e">
        <f t="shared" si="44"/>
        <v>#N/A</v>
      </c>
      <c r="DP26" s="380" t="e">
        <f t="shared" si="44"/>
        <v>#N/A</v>
      </c>
      <c r="DQ26" s="380" t="e">
        <f t="shared" si="44"/>
        <v>#N/A</v>
      </c>
      <c r="DR26" s="380" t="e">
        <f t="shared" si="44"/>
        <v>#N/A</v>
      </c>
      <c r="DS26" s="380" t="e">
        <f t="shared" si="44"/>
        <v>#N/A</v>
      </c>
      <c r="DT26" s="380" t="e">
        <f t="shared" si="44"/>
        <v>#N/A</v>
      </c>
      <c r="DU26" s="380" t="e">
        <f t="shared" si="44"/>
        <v>#N/A</v>
      </c>
      <c r="DV26" s="380" t="e">
        <f t="shared" si="44"/>
        <v>#N/A</v>
      </c>
      <c r="DW26" s="380" t="e">
        <f t="shared" si="44"/>
        <v>#N/A</v>
      </c>
      <c r="DX26" s="380" t="e">
        <f t="shared" si="44"/>
        <v>#N/A</v>
      </c>
      <c r="DY26" s="380" t="e">
        <f t="shared" si="49"/>
        <v>#N/A</v>
      </c>
      <c r="DZ26" s="378" t="e">
        <f t="shared" si="45"/>
        <v>#N/A</v>
      </c>
      <c r="EA26" s="378" t="e">
        <f t="shared" si="45"/>
        <v>#N/A</v>
      </c>
      <c r="EB26" s="378" t="e">
        <f t="shared" si="45"/>
        <v>#N/A</v>
      </c>
      <c r="EC26" s="378" t="e">
        <f t="shared" si="45"/>
        <v>#N/A</v>
      </c>
      <c r="ED26" s="378" t="e">
        <f t="shared" si="45"/>
        <v>#N/A</v>
      </c>
      <c r="EE26" s="378" t="e">
        <f t="shared" si="45"/>
        <v>#N/A</v>
      </c>
      <c r="EF26" s="378" t="e">
        <f t="shared" si="45"/>
        <v>#N/A</v>
      </c>
      <c r="EG26" s="378" t="e">
        <f t="shared" si="45"/>
        <v>#N/A</v>
      </c>
      <c r="EH26" s="378" t="e">
        <f t="shared" si="45"/>
        <v>#N/A</v>
      </c>
      <c r="EI26" s="378" t="e">
        <f t="shared" si="45"/>
        <v>#N/A</v>
      </c>
      <c r="EJ26" s="354" t="e">
        <f t="shared" si="50"/>
        <v>#N/A</v>
      </c>
      <c r="EK26" s="380" t="e">
        <f t="shared" si="46"/>
        <v>#N/A</v>
      </c>
      <c r="EL26" s="380" t="e">
        <f t="shared" si="46"/>
        <v>#N/A</v>
      </c>
      <c r="EM26" s="380" t="e">
        <f t="shared" si="46"/>
        <v>#N/A</v>
      </c>
      <c r="EN26" s="380" t="e">
        <f t="shared" si="46"/>
        <v>#N/A</v>
      </c>
      <c r="EO26" s="380" t="e">
        <f t="shared" si="46"/>
        <v>#N/A</v>
      </c>
      <c r="EP26" s="380" t="e">
        <f t="shared" si="46"/>
        <v>#N/A</v>
      </c>
      <c r="EQ26" s="380" t="e">
        <f t="shared" si="46"/>
        <v>#N/A</v>
      </c>
      <c r="ER26" s="380" t="e">
        <f t="shared" si="46"/>
        <v>#N/A</v>
      </c>
      <c r="ES26" s="380" t="e">
        <f t="shared" si="46"/>
        <v>#N/A</v>
      </c>
      <c r="ET26" s="380" t="e">
        <f t="shared" si="46"/>
        <v>#N/A</v>
      </c>
      <c r="EU26" s="379" t="e">
        <f t="shared" si="51"/>
        <v>#N/A</v>
      </c>
      <c r="EV26" s="381"/>
      <c r="EW26" s="382"/>
      <c r="EX26" s="382"/>
      <c r="EY26" s="382"/>
      <c r="EZ26" s="382"/>
      <c r="FA26" s="382"/>
      <c r="FB26" s="382"/>
      <c r="FE26" s="583"/>
      <c r="FF26" s="583"/>
      <c r="FG26" s="583"/>
      <c r="FH26" s="583"/>
      <c r="FI26" s="583"/>
    </row>
    <row r="27" spans="1:165" ht="35" customHeight="1" x14ac:dyDescent="0.3">
      <c r="A27" s="330"/>
      <c r="B27" s="318"/>
      <c r="C27" s="318"/>
      <c r="D27" s="318"/>
      <c r="E27" s="318"/>
      <c r="F27" s="318"/>
      <c r="G27" s="318"/>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18"/>
      <c r="AM27" s="317"/>
      <c r="AN27" s="318"/>
      <c r="AO27" s="317"/>
      <c r="AP27" s="317"/>
      <c r="AQ27" s="317"/>
      <c r="AR27" s="317"/>
      <c r="AS27" s="317"/>
      <c r="AT27" s="317"/>
      <c r="AU27" s="318"/>
      <c r="AV27" s="318"/>
      <c r="AW27" s="318"/>
      <c r="AX27" s="318"/>
      <c r="AY27" s="318"/>
      <c r="AZ27" s="318"/>
      <c r="BA27" s="318"/>
      <c r="BB27" s="318"/>
      <c r="BC27" s="318"/>
      <c r="BD27" s="318"/>
      <c r="BE27" s="318"/>
      <c r="BF27" s="318"/>
      <c r="BG27" s="318"/>
      <c r="BH27" s="333"/>
      <c r="BI27" s="333"/>
      <c r="BJ27" s="333"/>
      <c r="BK27" s="333"/>
      <c r="BL27" s="333"/>
      <c r="BM27" s="333"/>
      <c r="BN27" s="333"/>
      <c r="BO27" s="333"/>
      <c r="BP27" s="333"/>
      <c r="BQ27" s="333"/>
      <c r="BR27" s="333"/>
      <c r="BS27" s="333"/>
      <c r="BT27" s="334"/>
      <c r="BU27" s="335"/>
      <c r="BV27" s="346"/>
      <c r="BY27" s="376"/>
      <c r="BZ27" s="373"/>
      <c r="CA27" s="373"/>
      <c r="CB27" s="373"/>
      <c r="CC27" s="373"/>
      <c r="CD27" s="373"/>
      <c r="CE27" s="373"/>
      <c r="CF27" s="373"/>
      <c r="CG27" s="373"/>
      <c r="CH27" s="378" t="e">
        <f t="shared" si="13"/>
        <v>#N/A</v>
      </c>
      <c r="CI27" s="378" t="e">
        <f t="shared" si="14"/>
        <v>#N/A</v>
      </c>
      <c r="CJ27" s="378" t="e">
        <f t="shared" si="15"/>
        <v>#N/A</v>
      </c>
      <c r="CK27" s="378" t="e">
        <f t="shared" si="16"/>
        <v>#N/A</v>
      </c>
      <c r="CL27" s="378" t="e">
        <f t="shared" si="17"/>
        <v>#N/A</v>
      </c>
      <c r="CM27" s="378" t="e">
        <f t="shared" si="18"/>
        <v>#N/A</v>
      </c>
      <c r="CN27" s="378" t="e">
        <f t="shared" si="19"/>
        <v>#N/A</v>
      </c>
      <c r="CO27" s="378" t="e">
        <f t="shared" si="20"/>
        <v>#N/A</v>
      </c>
      <c r="CP27" s="378" t="e">
        <f t="shared" si="21"/>
        <v>#N/A</v>
      </c>
      <c r="CQ27" s="378" t="e">
        <f t="shared" si="22"/>
        <v>#N/A</v>
      </c>
      <c r="CR27" s="354" t="e">
        <f t="shared" ref="CR27:CR30" si="52">SUM(CH27:CQ27)</f>
        <v>#N/A</v>
      </c>
      <c r="CS27" s="379" t="e">
        <f>(HLOOKUP($AI27,'Inflation Adjustments'!$B$3:$BT$4,2,TRUE))*CH27</f>
        <v>#N/A</v>
      </c>
      <c r="CT27" s="379" t="e">
        <f>(HLOOKUP($AI27,'Inflation Adjustments'!$B$3:$BT$4,2,TRUE))*CI27</f>
        <v>#N/A</v>
      </c>
      <c r="CU27" s="379" t="e">
        <f>(HLOOKUP($AI27,'Inflation Adjustments'!$B$3:$BT$4,2,TRUE))*CJ27</f>
        <v>#N/A</v>
      </c>
      <c r="CV27" s="379" t="e">
        <f>(HLOOKUP($AI27,'Inflation Adjustments'!$B$3:$BT$4,2,TRUE))*CK27</f>
        <v>#N/A</v>
      </c>
      <c r="CW27" s="379" t="e">
        <f>(HLOOKUP($AI27,'Inflation Adjustments'!$B$3:$BT$4,2,TRUE))*CL27</f>
        <v>#N/A</v>
      </c>
      <c r="CX27" s="379" t="e">
        <f>(HLOOKUP($AI27,'Inflation Adjustments'!$B$3:$BT$4,2,TRUE))*CM27</f>
        <v>#N/A</v>
      </c>
      <c r="CY27" s="379" t="e">
        <f>(HLOOKUP($AI27,'Inflation Adjustments'!$B$3:$BT$4,2,TRUE))*CN27</f>
        <v>#N/A</v>
      </c>
      <c r="CZ27" s="379" t="e">
        <f>(HLOOKUP($AI27,'Inflation Adjustments'!$B$3:$BT$4,2,TRUE))*CO27</f>
        <v>#N/A</v>
      </c>
      <c r="DA27" s="379" t="e">
        <f>(HLOOKUP($AI27,'Inflation Adjustments'!$B$3:$BT$4,2,TRUE))*CP27</f>
        <v>#N/A</v>
      </c>
      <c r="DB27" s="379" t="e">
        <f>(HLOOKUP($AI27,'Inflation Adjustments'!$B$3:$BT$4,2,TRUE))*CQ27</f>
        <v>#N/A</v>
      </c>
      <c r="DC27" s="379" t="e">
        <f t="shared" si="24"/>
        <v>#N/A</v>
      </c>
      <c r="DD27" s="354">
        <f t="shared" si="25"/>
        <v>2022</v>
      </c>
      <c r="DE27" s="378" t="e">
        <f t="shared" si="26"/>
        <v>#N/A</v>
      </c>
      <c r="DF27" s="378" t="e">
        <f t="shared" si="27"/>
        <v>#N/A</v>
      </c>
      <c r="DG27" s="378" t="e">
        <f t="shared" si="28"/>
        <v>#N/A</v>
      </c>
      <c r="DH27" s="378" t="e">
        <f t="shared" si="29"/>
        <v>#N/A</v>
      </c>
      <c r="DI27" s="378" t="e">
        <f t="shared" si="30"/>
        <v>#N/A</v>
      </c>
      <c r="DJ27" s="378" t="e">
        <f t="shared" si="31"/>
        <v>#N/A</v>
      </c>
      <c r="DK27" s="378" t="e">
        <f t="shared" si="48"/>
        <v>#N/A</v>
      </c>
      <c r="DL27" s="378" t="e">
        <f t="shared" si="48"/>
        <v>#N/A</v>
      </c>
      <c r="DM27" s="378" t="e">
        <f t="shared" si="33"/>
        <v>#N/A</v>
      </c>
      <c r="DN27" s="378" t="e">
        <f t="shared" si="34"/>
        <v>#N/A</v>
      </c>
      <c r="DO27" s="380" t="e">
        <f t="shared" si="44"/>
        <v>#N/A</v>
      </c>
      <c r="DP27" s="380" t="e">
        <f t="shared" si="44"/>
        <v>#N/A</v>
      </c>
      <c r="DQ27" s="380" t="e">
        <f t="shared" si="44"/>
        <v>#N/A</v>
      </c>
      <c r="DR27" s="380" t="e">
        <f t="shared" si="44"/>
        <v>#N/A</v>
      </c>
      <c r="DS27" s="380" t="e">
        <f t="shared" si="44"/>
        <v>#N/A</v>
      </c>
      <c r="DT27" s="380" t="e">
        <f t="shared" si="44"/>
        <v>#N/A</v>
      </c>
      <c r="DU27" s="380" t="e">
        <f t="shared" si="44"/>
        <v>#N/A</v>
      </c>
      <c r="DV27" s="380" t="e">
        <f t="shared" si="44"/>
        <v>#N/A</v>
      </c>
      <c r="DW27" s="380" t="e">
        <f t="shared" si="44"/>
        <v>#N/A</v>
      </c>
      <c r="DX27" s="380" t="e">
        <f t="shared" si="44"/>
        <v>#N/A</v>
      </c>
      <c r="DY27" s="380" t="e">
        <f t="shared" ref="DY27:DY30" si="53">SUM(DO27:DX27)</f>
        <v>#N/A</v>
      </c>
      <c r="DZ27" s="378" t="e">
        <f t="shared" si="45"/>
        <v>#N/A</v>
      </c>
      <c r="EA27" s="378" t="e">
        <f t="shared" si="45"/>
        <v>#N/A</v>
      </c>
      <c r="EB27" s="378" t="e">
        <f t="shared" si="45"/>
        <v>#N/A</v>
      </c>
      <c r="EC27" s="378" t="e">
        <f t="shared" si="45"/>
        <v>#N/A</v>
      </c>
      <c r="ED27" s="378" t="e">
        <f t="shared" si="45"/>
        <v>#N/A</v>
      </c>
      <c r="EE27" s="378" t="e">
        <f t="shared" si="45"/>
        <v>#N/A</v>
      </c>
      <c r="EF27" s="378" t="e">
        <f t="shared" si="45"/>
        <v>#N/A</v>
      </c>
      <c r="EG27" s="378" t="e">
        <f t="shared" si="45"/>
        <v>#N/A</v>
      </c>
      <c r="EH27" s="378" t="e">
        <f t="shared" si="45"/>
        <v>#N/A</v>
      </c>
      <c r="EI27" s="378" t="e">
        <f t="shared" si="45"/>
        <v>#N/A</v>
      </c>
      <c r="EJ27" s="354" t="e">
        <f t="shared" si="50"/>
        <v>#N/A</v>
      </c>
      <c r="EK27" s="380" t="e">
        <f t="shared" si="46"/>
        <v>#N/A</v>
      </c>
      <c r="EL27" s="380" t="e">
        <f t="shared" si="46"/>
        <v>#N/A</v>
      </c>
      <c r="EM27" s="380" t="e">
        <f t="shared" si="46"/>
        <v>#N/A</v>
      </c>
      <c r="EN27" s="380" t="e">
        <f t="shared" si="46"/>
        <v>#N/A</v>
      </c>
      <c r="EO27" s="380" t="e">
        <f t="shared" si="46"/>
        <v>#N/A</v>
      </c>
      <c r="EP27" s="380" t="e">
        <f t="shared" si="46"/>
        <v>#N/A</v>
      </c>
      <c r="EQ27" s="380" t="e">
        <f t="shared" si="46"/>
        <v>#N/A</v>
      </c>
      <c r="ER27" s="380" t="e">
        <f t="shared" si="46"/>
        <v>#N/A</v>
      </c>
      <c r="ES27" s="380" t="e">
        <f t="shared" si="46"/>
        <v>#N/A</v>
      </c>
      <c r="ET27" s="380" t="e">
        <f t="shared" si="46"/>
        <v>#N/A</v>
      </c>
      <c r="EU27" s="379" t="e">
        <f t="shared" si="51"/>
        <v>#N/A</v>
      </c>
      <c r="EV27" s="381"/>
      <c r="EW27" s="382"/>
      <c r="EX27" s="382"/>
      <c r="EY27" s="382"/>
      <c r="EZ27" s="382"/>
      <c r="FA27" s="382"/>
      <c r="FB27" s="382"/>
      <c r="FE27" s="583"/>
      <c r="FF27" s="583"/>
      <c r="FG27" s="583"/>
      <c r="FH27" s="583"/>
      <c r="FI27" s="583"/>
    </row>
    <row r="28" spans="1:165" ht="35" customHeight="1" x14ac:dyDescent="0.3">
      <c r="A28" s="330"/>
      <c r="B28" s="318"/>
      <c r="C28" s="318"/>
      <c r="D28" s="318"/>
      <c r="E28" s="318"/>
      <c r="F28" s="318"/>
      <c r="G28" s="318"/>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18"/>
      <c r="AM28" s="317"/>
      <c r="AN28" s="318"/>
      <c r="AO28" s="317"/>
      <c r="AP28" s="317"/>
      <c r="AQ28" s="317"/>
      <c r="AR28" s="317"/>
      <c r="AS28" s="317"/>
      <c r="AT28" s="317"/>
      <c r="AU28" s="318"/>
      <c r="AV28" s="318"/>
      <c r="AW28" s="318"/>
      <c r="AX28" s="318"/>
      <c r="AY28" s="318"/>
      <c r="AZ28" s="318"/>
      <c r="BA28" s="318"/>
      <c r="BB28" s="318"/>
      <c r="BC28" s="318"/>
      <c r="BD28" s="318"/>
      <c r="BE28" s="318"/>
      <c r="BF28" s="318"/>
      <c r="BG28" s="318"/>
      <c r="BH28" s="333"/>
      <c r="BI28" s="333"/>
      <c r="BJ28" s="333"/>
      <c r="BK28" s="333"/>
      <c r="BL28" s="333"/>
      <c r="BM28" s="333"/>
      <c r="BN28" s="333"/>
      <c r="BO28" s="333"/>
      <c r="BP28" s="333"/>
      <c r="BQ28" s="333"/>
      <c r="BR28" s="333"/>
      <c r="BS28" s="333"/>
      <c r="BT28" s="334"/>
      <c r="BU28" s="335"/>
      <c r="BV28" s="346"/>
      <c r="BY28" s="376"/>
      <c r="BZ28" s="373"/>
      <c r="CA28" s="373"/>
      <c r="CB28" s="373"/>
      <c r="CC28" s="373"/>
      <c r="CD28" s="373"/>
      <c r="CE28" s="373"/>
      <c r="CF28" s="373"/>
      <c r="CG28" s="373"/>
      <c r="CH28" s="378" t="e">
        <f t="shared" si="13"/>
        <v>#N/A</v>
      </c>
      <c r="CI28" s="378" t="e">
        <f t="shared" si="14"/>
        <v>#N/A</v>
      </c>
      <c r="CJ28" s="378" t="e">
        <f t="shared" si="15"/>
        <v>#N/A</v>
      </c>
      <c r="CK28" s="378" t="e">
        <f t="shared" si="16"/>
        <v>#N/A</v>
      </c>
      <c r="CL28" s="378" t="e">
        <f t="shared" si="17"/>
        <v>#N/A</v>
      </c>
      <c r="CM28" s="378" t="e">
        <f t="shared" si="18"/>
        <v>#N/A</v>
      </c>
      <c r="CN28" s="378" t="e">
        <f t="shared" si="19"/>
        <v>#N/A</v>
      </c>
      <c r="CO28" s="378" t="e">
        <f t="shared" si="20"/>
        <v>#N/A</v>
      </c>
      <c r="CP28" s="378" t="e">
        <f t="shared" si="21"/>
        <v>#N/A</v>
      </c>
      <c r="CQ28" s="378" t="e">
        <f t="shared" si="22"/>
        <v>#N/A</v>
      </c>
      <c r="CR28" s="354" t="e">
        <f t="shared" si="52"/>
        <v>#N/A</v>
      </c>
      <c r="CS28" s="379" t="e">
        <f>(HLOOKUP($AI28,'Inflation Adjustments'!$B$3:$BT$4,2,TRUE))*CH28</f>
        <v>#N/A</v>
      </c>
      <c r="CT28" s="379" t="e">
        <f>(HLOOKUP($AI28,'Inflation Adjustments'!$B$3:$BT$4,2,TRUE))*CI28</f>
        <v>#N/A</v>
      </c>
      <c r="CU28" s="379" t="e">
        <f>(HLOOKUP($AI28,'Inflation Adjustments'!$B$3:$BT$4,2,TRUE))*CJ28</f>
        <v>#N/A</v>
      </c>
      <c r="CV28" s="379" t="e">
        <f>(HLOOKUP($AI28,'Inflation Adjustments'!$B$3:$BT$4,2,TRUE))*CK28</f>
        <v>#N/A</v>
      </c>
      <c r="CW28" s="379" t="e">
        <f>(HLOOKUP($AI28,'Inflation Adjustments'!$B$3:$BT$4,2,TRUE))*CL28</f>
        <v>#N/A</v>
      </c>
      <c r="CX28" s="379" t="e">
        <f>(HLOOKUP($AI28,'Inflation Adjustments'!$B$3:$BT$4,2,TRUE))*CM28</f>
        <v>#N/A</v>
      </c>
      <c r="CY28" s="379" t="e">
        <f>(HLOOKUP($AI28,'Inflation Adjustments'!$B$3:$BT$4,2,TRUE))*CN28</f>
        <v>#N/A</v>
      </c>
      <c r="CZ28" s="379" t="e">
        <f>(HLOOKUP($AI28,'Inflation Adjustments'!$B$3:$BT$4,2,TRUE))*CO28</f>
        <v>#N/A</v>
      </c>
      <c r="DA28" s="379" t="e">
        <f>(HLOOKUP($AI28,'Inflation Adjustments'!$B$3:$BT$4,2,TRUE))*CP28</f>
        <v>#N/A</v>
      </c>
      <c r="DB28" s="379" t="e">
        <f>(HLOOKUP($AI28,'Inflation Adjustments'!$B$3:$BT$4,2,TRUE))*CQ28</f>
        <v>#N/A</v>
      </c>
      <c r="DC28" s="379" t="e">
        <f t="shared" si="24"/>
        <v>#N/A</v>
      </c>
      <c r="DD28" s="354">
        <f t="shared" si="25"/>
        <v>2022</v>
      </c>
      <c r="DE28" s="378" t="e">
        <f t="shared" si="26"/>
        <v>#N/A</v>
      </c>
      <c r="DF28" s="378" t="e">
        <f t="shared" si="27"/>
        <v>#N/A</v>
      </c>
      <c r="DG28" s="378" t="e">
        <f t="shared" si="28"/>
        <v>#N/A</v>
      </c>
      <c r="DH28" s="378" t="e">
        <f t="shared" si="29"/>
        <v>#N/A</v>
      </c>
      <c r="DI28" s="378" t="e">
        <f t="shared" si="30"/>
        <v>#N/A</v>
      </c>
      <c r="DJ28" s="378" t="e">
        <f t="shared" si="31"/>
        <v>#N/A</v>
      </c>
      <c r="DK28" s="378" t="e">
        <f t="shared" si="48"/>
        <v>#N/A</v>
      </c>
      <c r="DL28" s="378" t="e">
        <f t="shared" si="48"/>
        <v>#N/A</v>
      </c>
      <c r="DM28" s="378" t="e">
        <f t="shared" si="33"/>
        <v>#N/A</v>
      </c>
      <c r="DN28" s="378" t="e">
        <f t="shared" si="34"/>
        <v>#N/A</v>
      </c>
      <c r="DO28" s="380" t="e">
        <f t="shared" si="44"/>
        <v>#N/A</v>
      </c>
      <c r="DP28" s="380" t="e">
        <f t="shared" si="44"/>
        <v>#N/A</v>
      </c>
      <c r="DQ28" s="380" t="e">
        <f t="shared" si="44"/>
        <v>#N/A</v>
      </c>
      <c r="DR28" s="380" t="e">
        <f t="shared" si="44"/>
        <v>#N/A</v>
      </c>
      <c r="DS28" s="380" t="e">
        <f t="shared" si="44"/>
        <v>#N/A</v>
      </c>
      <c r="DT28" s="380" t="e">
        <f t="shared" si="44"/>
        <v>#N/A</v>
      </c>
      <c r="DU28" s="380" t="e">
        <f t="shared" si="44"/>
        <v>#N/A</v>
      </c>
      <c r="DV28" s="380" t="e">
        <f t="shared" si="44"/>
        <v>#N/A</v>
      </c>
      <c r="DW28" s="380" t="e">
        <f t="shared" si="44"/>
        <v>#N/A</v>
      </c>
      <c r="DX28" s="380" t="e">
        <f t="shared" si="44"/>
        <v>#N/A</v>
      </c>
      <c r="DY28" s="380" t="e">
        <f t="shared" si="53"/>
        <v>#N/A</v>
      </c>
      <c r="DZ28" s="378" t="e">
        <f t="shared" si="45"/>
        <v>#N/A</v>
      </c>
      <c r="EA28" s="378" t="e">
        <f t="shared" si="45"/>
        <v>#N/A</v>
      </c>
      <c r="EB28" s="378" t="e">
        <f t="shared" si="45"/>
        <v>#N/A</v>
      </c>
      <c r="EC28" s="378" t="e">
        <f t="shared" si="45"/>
        <v>#N/A</v>
      </c>
      <c r="ED28" s="378" t="e">
        <f t="shared" si="45"/>
        <v>#N/A</v>
      </c>
      <c r="EE28" s="378" t="e">
        <f t="shared" si="45"/>
        <v>#N/A</v>
      </c>
      <c r="EF28" s="378" t="e">
        <f t="shared" si="45"/>
        <v>#N/A</v>
      </c>
      <c r="EG28" s="378" t="e">
        <f t="shared" si="45"/>
        <v>#N/A</v>
      </c>
      <c r="EH28" s="378" t="e">
        <f t="shared" si="45"/>
        <v>#N/A</v>
      </c>
      <c r="EI28" s="378" t="e">
        <f t="shared" si="45"/>
        <v>#N/A</v>
      </c>
      <c r="EJ28" s="354" t="e">
        <f t="shared" si="50"/>
        <v>#N/A</v>
      </c>
      <c r="EK28" s="380" t="e">
        <f t="shared" si="46"/>
        <v>#N/A</v>
      </c>
      <c r="EL28" s="380" t="e">
        <f t="shared" si="46"/>
        <v>#N/A</v>
      </c>
      <c r="EM28" s="380" t="e">
        <f t="shared" si="46"/>
        <v>#N/A</v>
      </c>
      <c r="EN28" s="380" t="e">
        <f t="shared" si="46"/>
        <v>#N/A</v>
      </c>
      <c r="EO28" s="380" t="e">
        <f t="shared" si="46"/>
        <v>#N/A</v>
      </c>
      <c r="EP28" s="380" t="e">
        <f t="shared" si="46"/>
        <v>#N/A</v>
      </c>
      <c r="EQ28" s="380" t="e">
        <f t="shared" si="46"/>
        <v>#N/A</v>
      </c>
      <c r="ER28" s="380" t="e">
        <f t="shared" si="46"/>
        <v>#N/A</v>
      </c>
      <c r="ES28" s="380" t="e">
        <f t="shared" si="46"/>
        <v>#N/A</v>
      </c>
      <c r="ET28" s="380" t="e">
        <f t="shared" si="46"/>
        <v>#N/A</v>
      </c>
      <c r="EU28" s="379" t="e">
        <f t="shared" si="51"/>
        <v>#N/A</v>
      </c>
      <c r="EV28" s="381"/>
      <c r="EW28" s="382"/>
      <c r="EX28" s="382"/>
      <c r="EY28" s="382"/>
      <c r="EZ28" s="382"/>
      <c r="FA28" s="382"/>
      <c r="FB28" s="382"/>
      <c r="FE28" s="583"/>
      <c r="FF28" s="583"/>
      <c r="FG28" s="583"/>
      <c r="FH28" s="583"/>
      <c r="FI28" s="583"/>
    </row>
    <row r="29" spans="1:165" ht="35" customHeight="1" x14ac:dyDescent="0.3">
      <c r="A29" s="330"/>
      <c r="B29" s="318"/>
      <c r="C29" s="318"/>
      <c r="D29" s="318"/>
      <c r="E29" s="318"/>
      <c r="F29" s="318"/>
      <c r="G29" s="318"/>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18"/>
      <c r="AL29" s="318"/>
      <c r="AM29" s="317"/>
      <c r="AN29" s="318"/>
      <c r="AO29" s="317"/>
      <c r="AP29" s="317"/>
      <c r="AQ29" s="317"/>
      <c r="AR29" s="317"/>
      <c r="AS29" s="317"/>
      <c r="AT29" s="317"/>
      <c r="AU29" s="318"/>
      <c r="AV29" s="318"/>
      <c r="AW29" s="318"/>
      <c r="AX29" s="318"/>
      <c r="AY29" s="318"/>
      <c r="AZ29" s="318"/>
      <c r="BA29" s="318"/>
      <c r="BB29" s="318"/>
      <c r="BC29" s="318"/>
      <c r="BD29" s="318"/>
      <c r="BE29" s="318"/>
      <c r="BF29" s="318"/>
      <c r="BG29" s="318"/>
      <c r="BH29" s="333"/>
      <c r="BI29" s="333"/>
      <c r="BJ29" s="333"/>
      <c r="BK29" s="333"/>
      <c r="BL29" s="333"/>
      <c r="BM29" s="333"/>
      <c r="BN29" s="333"/>
      <c r="BO29" s="333"/>
      <c r="BP29" s="333"/>
      <c r="BQ29" s="333"/>
      <c r="BR29" s="333"/>
      <c r="BS29" s="333"/>
      <c r="BT29" s="334"/>
      <c r="BU29" s="335"/>
      <c r="BV29" s="346"/>
      <c r="BY29" s="376"/>
      <c r="BZ29" s="373"/>
      <c r="CA29" s="373"/>
      <c r="CB29" s="373"/>
      <c r="CC29" s="373"/>
      <c r="CD29" s="373"/>
      <c r="CE29" s="373"/>
      <c r="CF29" s="373"/>
      <c r="CG29" s="373"/>
      <c r="CH29" s="378" t="e">
        <f t="shared" si="13"/>
        <v>#N/A</v>
      </c>
      <c r="CI29" s="378" t="e">
        <f t="shared" si="14"/>
        <v>#N/A</v>
      </c>
      <c r="CJ29" s="378" t="e">
        <f t="shared" si="15"/>
        <v>#N/A</v>
      </c>
      <c r="CK29" s="378" t="e">
        <f t="shared" si="16"/>
        <v>#N/A</v>
      </c>
      <c r="CL29" s="378" t="e">
        <f t="shared" si="17"/>
        <v>#N/A</v>
      </c>
      <c r="CM29" s="378" t="e">
        <f t="shared" si="18"/>
        <v>#N/A</v>
      </c>
      <c r="CN29" s="378" t="e">
        <f t="shared" si="19"/>
        <v>#N/A</v>
      </c>
      <c r="CO29" s="378" t="e">
        <f t="shared" si="20"/>
        <v>#N/A</v>
      </c>
      <c r="CP29" s="378" t="e">
        <f t="shared" si="21"/>
        <v>#N/A</v>
      </c>
      <c r="CQ29" s="378" t="e">
        <f t="shared" si="22"/>
        <v>#N/A</v>
      </c>
      <c r="CR29" s="354" t="e">
        <f t="shared" si="52"/>
        <v>#N/A</v>
      </c>
      <c r="CS29" s="379" t="e">
        <f>(HLOOKUP($AI29,'Inflation Adjustments'!$B$3:$BT$4,2,TRUE))*CH29</f>
        <v>#N/A</v>
      </c>
      <c r="CT29" s="379" t="e">
        <f>(HLOOKUP($AI29,'Inflation Adjustments'!$B$3:$BT$4,2,TRUE))*CI29</f>
        <v>#N/A</v>
      </c>
      <c r="CU29" s="379" t="e">
        <f>(HLOOKUP($AI29,'Inflation Adjustments'!$B$3:$BT$4,2,TRUE))*CJ29</f>
        <v>#N/A</v>
      </c>
      <c r="CV29" s="379" t="e">
        <f>(HLOOKUP($AI29,'Inflation Adjustments'!$B$3:$BT$4,2,TRUE))*CK29</f>
        <v>#N/A</v>
      </c>
      <c r="CW29" s="379" t="e">
        <f>(HLOOKUP($AI29,'Inflation Adjustments'!$B$3:$BT$4,2,TRUE))*CL29</f>
        <v>#N/A</v>
      </c>
      <c r="CX29" s="379" t="e">
        <f>(HLOOKUP($AI29,'Inflation Adjustments'!$B$3:$BT$4,2,TRUE))*CM29</f>
        <v>#N/A</v>
      </c>
      <c r="CY29" s="379" t="e">
        <f>(HLOOKUP($AI29,'Inflation Adjustments'!$B$3:$BT$4,2,TRUE))*CN29</f>
        <v>#N/A</v>
      </c>
      <c r="CZ29" s="379" t="e">
        <f>(HLOOKUP($AI29,'Inflation Adjustments'!$B$3:$BT$4,2,TRUE))*CO29</f>
        <v>#N/A</v>
      </c>
      <c r="DA29" s="379" t="e">
        <f>(HLOOKUP($AI29,'Inflation Adjustments'!$B$3:$BT$4,2,TRUE))*CP29</f>
        <v>#N/A</v>
      </c>
      <c r="DB29" s="379" t="e">
        <f>(HLOOKUP($AI29,'Inflation Adjustments'!$B$3:$BT$4,2,TRUE))*CQ29</f>
        <v>#N/A</v>
      </c>
      <c r="DC29" s="379" t="e">
        <f t="shared" si="24"/>
        <v>#N/A</v>
      </c>
      <c r="DD29" s="354">
        <f t="shared" si="25"/>
        <v>2022</v>
      </c>
      <c r="DE29" s="378" t="e">
        <f t="shared" si="26"/>
        <v>#N/A</v>
      </c>
      <c r="DF29" s="378" t="e">
        <f t="shared" si="27"/>
        <v>#N/A</v>
      </c>
      <c r="DG29" s="378" t="e">
        <f t="shared" si="28"/>
        <v>#N/A</v>
      </c>
      <c r="DH29" s="378" t="e">
        <f t="shared" si="29"/>
        <v>#N/A</v>
      </c>
      <c r="DI29" s="378" t="e">
        <f t="shared" si="30"/>
        <v>#N/A</v>
      </c>
      <c r="DJ29" s="378" t="e">
        <f t="shared" si="31"/>
        <v>#N/A</v>
      </c>
      <c r="DK29" s="378" t="e">
        <f t="shared" si="48"/>
        <v>#N/A</v>
      </c>
      <c r="DL29" s="378" t="e">
        <f t="shared" si="48"/>
        <v>#N/A</v>
      </c>
      <c r="DM29" s="378" t="e">
        <f t="shared" si="33"/>
        <v>#N/A</v>
      </c>
      <c r="DN29" s="378" t="e">
        <f t="shared" si="34"/>
        <v>#N/A</v>
      </c>
      <c r="DO29" s="380" t="e">
        <f t="shared" si="44"/>
        <v>#N/A</v>
      </c>
      <c r="DP29" s="380" t="e">
        <f t="shared" si="44"/>
        <v>#N/A</v>
      </c>
      <c r="DQ29" s="380" t="e">
        <f t="shared" si="44"/>
        <v>#N/A</v>
      </c>
      <c r="DR29" s="380" t="e">
        <f t="shared" si="44"/>
        <v>#N/A</v>
      </c>
      <c r="DS29" s="380" t="e">
        <f t="shared" si="44"/>
        <v>#N/A</v>
      </c>
      <c r="DT29" s="380" t="e">
        <f t="shared" si="44"/>
        <v>#N/A</v>
      </c>
      <c r="DU29" s="380" t="e">
        <f t="shared" si="44"/>
        <v>#N/A</v>
      </c>
      <c r="DV29" s="380" t="e">
        <f t="shared" si="44"/>
        <v>#N/A</v>
      </c>
      <c r="DW29" s="380" t="e">
        <f t="shared" si="44"/>
        <v>#N/A</v>
      </c>
      <c r="DX29" s="380" t="e">
        <f t="shared" si="44"/>
        <v>#N/A</v>
      </c>
      <c r="DY29" s="380" t="e">
        <f t="shared" si="53"/>
        <v>#N/A</v>
      </c>
      <c r="DZ29" s="378" t="e">
        <f t="shared" si="45"/>
        <v>#N/A</v>
      </c>
      <c r="EA29" s="378" t="e">
        <f t="shared" si="45"/>
        <v>#N/A</v>
      </c>
      <c r="EB29" s="378" t="e">
        <f t="shared" si="45"/>
        <v>#N/A</v>
      </c>
      <c r="EC29" s="378" t="e">
        <f t="shared" si="45"/>
        <v>#N/A</v>
      </c>
      <c r="ED29" s="378" t="e">
        <f t="shared" si="45"/>
        <v>#N/A</v>
      </c>
      <c r="EE29" s="378" t="e">
        <f t="shared" si="45"/>
        <v>#N/A</v>
      </c>
      <c r="EF29" s="378" t="e">
        <f t="shared" si="45"/>
        <v>#N/A</v>
      </c>
      <c r="EG29" s="378" t="e">
        <f t="shared" si="45"/>
        <v>#N/A</v>
      </c>
      <c r="EH29" s="378" t="e">
        <f t="shared" si="45"/>
        <v>#N/A</v>
      </c>
      <c r="EI29" s="378" t="e">
        <f t="shared" si="45"/>
        <v>#N/A</v>
      </c>
      <c r="EJ29" s="354" t="e">
        <f t="shared" si="50"/>
        <v>#N/A</v>
      </c>
      <c r="EK29" s="380" t="e">
        <f t="shared" si="46"/>
        <v>#N/A</v>
      </c>
      <c r="EL29" s="380" t="e">
        <f t="shared" si="46"/>
        <v>#N/A</v>
      </c>
      <c r="EM29" s="380" t="e">
        <f t="shared" si="46"/>
        <v>#N/A</v>
      </c>
      <c r="EN29" s="380" t="e">
        <f t="shared" si="46"/>
        <v>#N/A</v>
      </c>
      <c r="EO29" s="380" t="e">
        <f t="shared" si="46"/>
        <v>#N/A</v>
      </c>
      <c r="EP29" s="380" t="e">
        <f t="shared" si="46"/>
        <v>#N/A</v>
      </c>
      <c r="EQ29" s="380" t="e">
        <f t="shared" si="46"/>
        <v>#N/A</v>
      </c>
      <c r="ER29" s="380" t="e">
        <f t="shared" si="46"/>
        <v>#N/A</v>
      </c>
      <c r="ES29" s="380" t="e">
        <f t="shared" si="46"/>
        <v>#N/A</v>
      </c>
      <c r="ET29" s="380" t="e">
        <f t="shared" si="46"/>
        <v>#N/A</v>
      </c>
      <c r="EU29" s="379" t="e">
        <f t="shared" si="51"/>
        <v>#N/A</v>
      </c>
      <c r="EV29" s="381"/>
      <c r="EW29" s="382"/>
      <c r="EX29" s="382"/>
      <c r="EY29" s="382"/>
      <c r="EZ29" s="382"/>
      <c r="FA29" s="382"/>
      <c r="FB29" s="382"/>
      <c r="FE29" s="583" t="s">
        <v>1679</v>
      </c>
      <c r="FF29" s="583"/>
      <c r="FG29" s="583"/>
      <c r="FH29" s="583"/>
      <c r="FI29" s="583"/>
    </row>
    <row r="30" spans="1:165" ht="35" customHeight="1" x14ac:dyDescent="0.3">
      <c r="A30" s="330"/>
      <c r="B30" s="318"/>
      <c r="C30" s="318"/>
      <c r="D30" s="318"/>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7"/>
      <c r="AN30" s="318"/>
      <c r="AO30" s="317"/>
      <c r="AP30" s="317"/>
      <c r="AQ30" s="317"/>
      <c r="AR30" s="317"/>
      <c r="AS30" s="317"/>
      <c r="AT30" s="317"/>
      <c r="AU30" s="318"/>
      <c r="AV30" s="318"/>
      <c r="AW30" s="318"/>
      <c r="AX30" s="318"/>
      <c r="AY30" s="318"/>
      <c r="AZ30" s="318"/>
      <c r="BA30" s="318"/>
      <c r="BB30" s="318"/>
      <c r="BC30" s="318"/>
      <c r="BD30" s="318"/>
      <c r="BE30" s="318"/>
      <c r="BF30" s="318"/>
      <c r="BG30" s="318"/>
      <c r="BH30" s="333"/>
      <c r="BI30" s="333"/>
      <c r="BJ30" s="333"/>
      <c r="BK30" s="333"/>
      <c r="BL30" s="333"/>
      <c r="BM30" s="333"/>
      <c r="BN30" s="333"/>
      <c r="BO30" s="333"/>
      <c r="BP30" s="333"/>
      <c r="BQ30" s="333"/>
      <c r="BR30" s="333"/>
      <c r="BS30" s="333"/>
      <c r="BT30" s="334"/>
      <c r="BU30" s="335"/>
      <c r="BV30" s="346"/>
      <c r="BY30" s="376"/>
      <c r="BZ30" s="373"/>
      <c r="CA30" s="373"/>
      <c r="CB30" s="373"/>
      <c r="CC30" s="373"/>
      <c r="CD30" s="373"/>
      <c r="CE30" s="373"/>
      <c r="CF30" s="373"/>
      <c r="CG30" s="373"/>
      <c r="CH30" s="378" t="e">
        <f t="shared" si="13"/>
        <v>#N/A</v>
      </c>
      <c r="CI30" s="378" t="e">
        <f t="shared" si="14"/>
        <v>#N/A</v>
      </c>
      <c r="CJ30" s="378" t="e">
        <f t="shared" si="15"/>
        <v>#N/A</v>
      </c>
      <c r="CK30" s="378" t="e">
        <f t="shared" si="16"/>
        <v>#N/A</v>
      </c>
      <c r="CL30" s="378" t="e">
        <f t="shared" si="17"/>
        <v>#N/A</v>
      </c>
      <c r="CM30" s="378" t="e">
        <f t="shared" si="18"/>
        <v>#N/A</v>
      </c>
      <c r="CN30" s="378" t="e">
        <f t="shared" si="19"/>
        <v>#N/A</v>
      </c>
      <c r="CO30" s="378" t="e">
        <f t="shared" si="20"/>
        <v>#N/A</v>
      </c>
      <c r="CP30" s="378" t="e">
        <f t="shared" si="21"/>
        <v>#N/A</v>
      </c>
      <c r="CQ30" s="378" t="e">
        <f t="shared" si="22"/>
        <v>#N/A</v>
      </c>
      <c r="CR30" s="354" t="e">
        <f t="shared" si="52"/>
        <v>#N/A</v>
      </c>
      <c r="CS30" s="379" t="e">
        <f>(HLOOKUP($AI30,'Inflation Adjustments'!$B$3:$BT$4,2,TRUE))*CH30</f>
        <v>#N/A</v>
      </c>
      <c r="CT30" s="379" t="e">
        <f>(HLOOKUP($AI30,'Inflation Adjustments'!$B$3:$BT$4,2,TRUE))*CI30</f>
        <v>#N/A</v>
      </c>
      <c r="CU30" s="379" t="e">
        <f>(HLOOKUP($AI30,'Inflation Adjustments'!$B$3:$BT$4,2,TRUE))*CJ30</f>
        <v>#N/A</v>
      </c>
      <c r="CV30" s="379" t="e">
        <f>(HLOOKUP($AI30,'Inflation Adjustments'!$B$3:$BT$4,2,TRUE))*CK30</f>
        <v>#N/A</v>
      </c>
      <c r="CW30" s="379" t="e">
        <f>(HLOOKUP($AI30,'Inflation Adjustments'!$B$3:$BT$4,2,TRUE))*CL30</f>
        <v>#N/A</v>
      </c>
      <c r="CX30" s="379" t="e">
        <f>(HLOOKUP($AI30,'Inflation Adjustments'!$B$3:$BT$4,2,TRUE))*CM30</f>
        <v>#N/A</v>
      </c>
      <c r="CY30" s="379" t="e">
        <f>(HLOOKUP($AI30,'Inflation Adjustments'!$B$3:$BT$4,2,TRUE))*CN30</f>
        <v>#N/A</v>
      </c>
      <c r="CZ30" s="379" t="e">
        <f>(HLOOKUP($AI30,'Inflation Adjustments'!$B$3:$BT$4,2,TRUE))*CO30</f>
        <v>#N/A</v>
      </c>
      <c r="DA30" s="379" t="e">
        <f>(HLOOKUP($AI30,'Inflation Adjustments'!$B$3:$BT$4,2,TRUE))*CP30</f>
        <v>#N/A</v>
      </c>
      <c r="DB30" s="379" t="e">
        <f>(HLOOKUP($AI30,'Inflation Adjustments'!$B$3:$BT$4,2,TRUE))*CQ30</f>
        <v>#N/A</v>
      </c>
      <c r="DC30" s="379" t="e">
        <f t="shared" si="24"/>
        <v>#N/A</v>
      </c>
      <c r="DD30" s="354">
        <f t="shared" si="25"/>
        <v>2022</v>
      </c>
      <c r="DE30" s="378" t="e">
        <f t="shared" si="26"/>
        <v>#N/A</v>
      </c>
      <c r="DF30" s="378" t="e">
        <f t="shared" si="27"/>
        <v>#N/A</v>
      </c>
      <c r="DG30" s="378" t="e">
        <f t="shared" si="28"/>
        <v>#N/A</v>
      </c>
      <c r="DH30" s="378" t="e">
        <f t="shared" si="29"/>
        <v>#N/A</v>
      </c>
      <c r="DI30" s="378" t="e">
        <f t="shared" si="30"/>
        <v>#N/A</v>
      </c>
      <c r="DJ30" s="378" t="e">
        <f t="shared" si="31"/>
        <v>#N/A</v>
      </c>
      <c r="DK30" s="378" t="e">
        <f t="shared" si="48"/>
        <v>#N/A</v>
      </c>
      <c r="DL30" s="378" t="e">
        <f t="shared" si="48"/>
        <v>#N/A</v>
      </c>
      <c r="DM30" s="378" t="e">
        <f t="shared" si="33"/>
        <v>#N/A</v>
      </c>
      <c r="DN30" s="378" t="e">
        <f t="shared" si="34"/>
        <v>#N/A</v>
      </c>
      <c r="DO30" s="380" t="e">
        <f t="shared" si="44"/>
        <v>#N/A</v>
      </c>
      <c r="DP30" s="380" t="e">
        <f t="shared" si="44"/>
        <v>#N/A</v>
      </c>
      <c r="DQ30" s="380" t="e">
        <f t="shared" si="44"/>
        <v>#N/A</v>
      </c>
      <c r="DR30" s="380" t="e">
        <f t="shared" si="44"/>
        <v>#N/A</v>
      </c>
      <c r="DS30" s="380" t="e">
        <f t="shared" si="44"/>
        <v>#N/A</v>
      </c>
      <c r="DT30" s="380" t="e">
        <f t="shared" si="44"/>
        <v>#N/A</v>
      </c>
      <c r="DU30" s="380" t="e">
        <f t="shared" si="44"/>
        <v>#N/A</v>
      </c>
      <c r="DV30" s="380" t="e">
        <f t="shared" si="44"/>
        <v>#N/A</v>
      </c>
      <c r="DW30" s="380" t="e">
        <f t="shared" si="44"/>
        <v>#N/A</v>
      </c>
      <c r="DX30" s="380" t="e">
        <f t="shared" si="44"/>
        <v>#N/A</v>
      </c>
      <c r="DY30" s="380" t="e">
        <f t="shared" si="53"/>
        <v>#N/A</v>
      </c>
      <c r="DZ30" s="378" t="e">
        <f t="shared" si="45"/>
        <v>#N/A</v>
      </c>
      <c r="EA30" s="378" t="e">
        <f t="shared" si="45"/>
        <v>#N/A</v>
      </c>
      <c r="EB30" s="378" t="e">
        <f t="shared" si="45"/>
        <v>#N/A</v>
      </c>
      <c r="EC30" s="378" t="e">
        <f t="shared" si="45"/>
        <v>#N/A</v>
      </c>
      <c r="ED30" s="378" t="e">
        <f t="shared" si="45"/>
        <v>#N/A</v>
      </c>
      <c r="EE30" s="378" t="e">
        <f t="shared" si="45"/>
        <v>#N/A</v>
      </c>
      <c r="EF30" s="378" t="e">
        <f t="shared" si="45"/>
        <v>#N/A</v>
      </c>
      <c r="EG30" s="378" t="e">
        <f t="shared" si="45"/>
        <v>#N/A</v>
      </c>
      <c r="EH30" s="378" t="e">
        <f t="shared" si="45"/>
        <v>#N/A</v>
      </c>
      <c r="EI30" s="378" t="e">
        <f t="shared" si="45"/>
        <v>#N/A</v>
      </c>
      <c r="EJ30" s="354" t="e">
        <f t="shared" si="50"/>
        <v>#N/A</v>
      </c>
      <c r="EK30" s="380" t="e">
        <f t="shared" si="46"/>
        <v>#N/A</v>
      </c>
      <c r="EL30" s="380" t="e">
        <f t="shared" si="46"/>
        <v>#N/A</v>
      </c>
      <c r="EM30" s="380" t="e">
        <f t="shared" si="46"/>
        <v>#N/A</v>
      </c>
      <c r="EN30" s="380" t="e">
        <f t="shared" si="46"/>
        <v>#N/A</v>
      </c>
      <c r="EO30" s="380" t="e">
        <f t="shared" si="46"/>
        <v>#N/A</v>
      </c>
      <c r="EP30" s="380" t="e">
        <f t="shared" si="46"/>
        <v>#N/A</v>
      </c>
      <c r="EQ30" s="380" t="e">
        <f t="shared" si="46"/>
        <v>#N/A</v>
      </c>
      <c r="ER30" s="380" t="e">
        <f t="shared" si="46"/>
        <v>#N/A</v>
      </c>
      <c r="ES30" s="380" t="e">
        <f t="shared" si="46"/>
        <v>#N/A</v>
      </c>
      <c r="ET30" s="380" t="e">
        <f t="shared" si="46"/>
        <v>#N/A</v>
      </c>
      <c r="EU30" s="379" t="e">
        <f t="shared" si="51"/>
        <v>#N/A</v>
      </c>
      <c r="EV30" s="381"/>
      <c r="EW30" s="382"/>
      <c r="EX30" s="382"/>
      <c r="EY30" s="382"/>
      <c r="EZ30" s="382"/>
      <c r="FA30" s="382"/>
      <c r="FB30" s="382"/>
      <c r="FE30" s="583" t="s">
        <v>1680</v>
      </c>
      <c r="FF30" s="583"/>
      <c r="FG30" s="583"/>
      <c r="FH30" s="583"/>
      <c r="FI30" s="583"/>
    </row>
    <row r="31" spans="1:165" ht="35" customHeight="1" x14ac:dyDescent="0.3">
      <c r="A31" s="330"/>
      <c r="B31" s="318"/>
      <c r="C31" s="318"/>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7"/>
      <c r="AN31" s="318"/>
      <c r="AO31" s="317"/>
      <c r="AP31" s="317"/>
      <c r="AQ31" s="317"/>
      <c r="AR31" s="317"/>
      <c r="AS31" s="317"/>
      <c r="AT31" s="317"/>
      <c r="AU31" s="318"/>
      <c r="AV31" s="318"/>
      <c r="AW31" s="318"/>
      <c r="AX31" s="318"/>
      <c r="AY31" s="318"/>
      <c r="AZ31" s="318"/>
      <c r="BA31" s="318"/>
      <c r="BB31" s="318"/>
      <c r="BC31" s="318"/>
      <c r="BD31" s="318"/>
      <c r="BE31" s="318"/>
      <c r="BF31" s="318"/>
      <c r="BG31" s="318"/>
      <c r="BH31" s="333"/>
      <c r="BI31" s="333"/>
      <c r="BJ31" s="333"/>
      <c r="BK31" s="333"/>
      <c r="BL31" s="333"/>
      <c r="BM31" s="333"/>
      <c r="BN31" s="333"/>
      <c r="BO31" s="333"/>
      <c r="BP31" s="333"/>
      <c r="BQ31" s="333"/>
      <c r="BR31" s="333"/>
      <c r="BS31" s="333"/>
      <c r="BT31" s="334"/>
      <c r="BU31" s="335"/>
      <c r="BV31" s="346"/>
      <c r="BY31" s="376"/>
      <c r="BZ31" s="373"/>
      <c r="CA31" s="373"/>
      <c r="CB31" s="373"/>
      <c r="CC31" s="373"/>
      <c r="CD31" s="373"/>
      <c r="CE31" s="373"/>
      <c r="CF31" s="373"/>
      <c r="CG31" s="373"/>
      <c r="CH31" s="378" t="e">
        <f t="shared" si="13"/>
        <v>#N/A</v>
      </c>
      <c r="CI31" s="378" t="e">
        <f t="shared" si="14"/>
        <v>#N/A</v>
      </c>
      <c r="CJ31" s="378" t="e">
        <f t="shared" si="15"/>
        <v>#N/A</v>
      </c>
      <c r="CK31" s="378" t="e">
        <f t="shared" si="16"/>
        <v>#N/A</v>
      </c>
      <c r="CL31" s="378" t="e">
        <f t="shared" si="17"/>
        <v>#N/A</v>
      </c>
      <c r="CM31" s="378" t="e">
        <f t="shared" si="18"/>
        <v>#N/A</v>
      </c>
      <c r="CN31" s="378" t="e">
        <f t="shared" si="19"/>
        <v>#N/A</v>
      </c>
      <c r="CO31" s="378" t="e">
        <f t="shared" si="20"/>
        <v>#N/A</v>
      </c>
      <c r="CP31" s="378" t="e">
        <f t="shared" si="21"/>
        <v>#N/A</v>
      </c>
      <c r="CQ31" s="378" t="e">
        <f t="shared" si="22"/>
        <v>#N/A</v>
      </c>
      <c r="CR31" s="354" t="e">
        <f t="shared" ref="CR31:CR34" si="54">SUM(CH31:CQ31)</f>
        <v>#N/A</v>
      </c>
      <c r="CS31" s="379" t="e">
        <f>(HLOOKUP($AI31,'Inflation Adjustments'!$B$3:$BT$4,2,TRUE))*CH31</f>
        <v>#N/A</v>
      </c>
      <c r="CT31" s="379" t="e">
        <f>(HLOOKUP($AI31,'Inflation Adjustments'!$B$3:$BT$4,2,TRUE))*CI31</f>
        <v>#N/A</v>
      </c>
      <c r="CU31" s="379" t="e">
        <f>(HLOOKUP($AI31,'Inflation Adjustments'!$B$3:$BT$4,2,TRUE))*CJ31</f>
        <v>#N/A</v>
      </c>
      <c r="CV31" s="379" t="e">
        <f>(HLOOKUP($AI31,'Inflation Adjustments'!$B$3:$BT$4,2,TRUE))*CK31</f>
        <v>#N/A</v>
      </c>
      <c r="CW31" s="379" t="e">
        <f>(HLOOKUP($AI31,'Inflation Adjustments'!$B$3:$BT$4,2,TRUE))*CL31</f>
        <v>#N/A</v>
      </c>
      <c r="CX31" s="379" t="e">
        <f>(HLOOKUP($AI31,'Inflation Adjustments'!$B$3:$BT$4,2,TRUE))*CM31</f>
        <v>#N/A</v>
      </c>
      <c r="CY31" s="379" t="e">
        <f>(HLOOKUP($AI31,'Inflation Adjustments'!$B$3:$BT$4,2,TRUE))*CN31</f>
        <v>#N/A</v>
      </c>
      <c r="CZ31" s="379" t="e">
        <f>(HLOOKUP($AI31,'Inflation Adjustments'!$B$3:$BT$4,2,TRUE))*CO31</f>
        <v>#N/A</v>
      </c>
      <c r="DA31" s="379" t="e">
        <f>(HLOOKUP($AI31,'Inflation Adjustments'!$B$3:$BT$4,2,TRUE))*CP31</f>
        <v>#N/A</v>
      </c>
      <c r="DB31" s="379" t="e">
        <f>(HLOOKUP($AI31,'Inflation Adjustments'!$B$3:$BT$4,2,TRUE))*CQ31</f>
        <v>#N/A</v>
      </c>
      <c r="DC31" s="379" t="e">
        <f t="shared" si="24"/>
        <v>#N/A</v>
      </c>
      <c r="DD31" s="354">
        <f t="shared" si="25"/>
        <v>2022</v>
      </c>
      <c r="DE31" s="378" t="e">
        <f t="shared" si="26"/>
        <v>#N/A</v>
      </c>
      <c r="DF31" s="378" t="e">
        <f t="shared" si="27"/>
        <v>#N/A</v>
      </c>
      <c r="DG31" s="378" t="e">
        <f t="shared" si="28"/>
        <v>#N/A</v>
      </c>
      <c r="DH31" s="378" t="e">
        <f t="shared" si="29"/>
        <v>#N/A</v>
      </c>
      <c r="DI31" s="378" t="e">
        <f t="shared" si="30"/>
        <v>#N/A</v>
      </c>
      <c r="DJ31" s="378" t="e">
        <f t="shared" si="31"/>
        <v>#N/A</v>
      </c>
      <c r="DK31" s="378" t="e">
        <f t="shared" si="48"/>
        <v>#N/A</v>
      </c>
      <c r="DL31" s="378" t="e">
        <f t="shared" si="48"/>
        <v>#N/A</v>
      </c>
      <c r="DM31" s="378" t="e">
        <f t="shared" si="33"/>
        <v>#N/A</v>
      </c>
      <c r="DN31" s="378" t="e">
        <f t="shared" si="34"/>
        <v>#N/A</v>
      </c>
      <c r="DO31" s="380" t="e">
        <f t="shared" si="44"/>
        <v>#N/A</v>
      </c>
      <c r="DP31" s="380" t="e">
        <f t="shared" si="44"/>
        <v>#N/A</v>
      </c>
      <c r="DQ31" s="380" t="e">
        <f t="shared" si="44"/>
        <v>#N/A</v>
      </c>
      <c r="DR31" s="380" t="e">
        <f t="shared" si="44"/>
        <v>#N/A</v>
      </c>
      <c r="DS31" s="380" t="e">
        <f t="shared" si="44"/>
        <v>#N/A</v>
      </c>
      <c r="DT31" s="380" t="e">
        <f t="shared" si="44"/>
        <v>#N/A</v>
      </c>
      <c r="DU31" s="380" t="e">
        <f t="shared" si="44"/>
        <v>#N/A</v>
      </c>
      <c r="DV31" s="380" t="e">
        <f t="shared" si="44"/>
        <v>#N/A</v>
      </c>
      <c r="DW31" s="380" t="e">
        <f t="shared" si="44"/>
        <v>#N/A</v>
      </c>
      <c r="DX31" s="380" t="e">
        <f t="shared" si="44"/>
        <v>#N/A</v>
      </c>
      <c r="DY31" s="380" t="e">
        <f t="shared" ref="DY31:DY34" si="55">SUM(DO31:DX31)</f>
        <v>#N/A</v>
      </c>
      <c r="DZ31" s="378" t="e">
        <f t="shared" si="45"/>
        <v>#N/A</v>
      </c>
      <c r="EA31" s="378" t="e">
        <f t="shared" si="45"/>
        <v>#N/A</v>
      </c>
      <c r="EB31" s="378" t="e">
        <f t="shared" si="45"/>
        <v>#N/A</v>
      </c>
      <c r="EC31" s="378" t="e">
        <f t="shared" si="45"/>
        <v>#N/A</v>
      </c>
      <c r="ED31" s="378" t="e">
        <f t="shared" si="45"/>
        <v>#N/A</v>
      </c>
      <c r="EE31" s="378" t="e">
        <f t="shared" si="45"/>
        <v>#N/A</v>
      </c>
      <c r="EF31" s="378" t="e">
        <f t="shared" si="45"/>
        <v>#N/A</v>
      </c>
      <c r="EG31" s="378" t="e">
        <f t="shared" si="45"/>
        <v>#N/A</v>
      </c>
      <c r="EH31" s="378" t="e">
        <f t="shared" si="45"/>
        <v>#N/A</v>
      </c>
      <c r="EI31" s="378" t="e">
        <f t="shared" si="45"/>
        <v>#N/A</v>
      </c>
      <c r="EJ31" s="354" t="e">
        <f t="shared" si="50"/>
        <v>#N/A</v>
      </c>
      <c r="EK31" s="380" t="e">
        <f t="shared" si="46"/>
        <v>#N/A</v>
      </c>
      <c r="EL31" s="380" t="e">
        <f t="shared" si="46"/>
        <v>#N/A</v>
      </c>
      <c r="EM31" s="380" t="e">
        <f t="shared" si="46"/>
        <v>#N/A</v>
      </c>
      <c r="EN31" s="380" t="e">
        <f t="shared" si="46"/>
        <v>#N/A</v>
      </c>
      <c r="EO31" s="380" t="e">
        <f t="shared" si="46"/>
        <v>#N/A</v>
      </c>
      <c r="EP31" s="380" t="e">
        <f t="shared" si="46"/>
        <v>#N/A</v>
      </c>
      <c r="EQ31" s="380" t="e">
        <f t="shared" si="46"/>
        <v>#N/A</v>
      </c>
      <c r="ER31" s="380" t="e">
        <f t="shared" si="46"/>
        <v>#N/A</v>
      </c>
      <c r="ES31" s="380" t="e">
        <f t="shared" si="46"/>
        <v>#N/A</v>
      </c>
      <c r="ET31" s="380" t="e">
        <f t="shared" si="46"/>
        <v>#N/A</v>
      </c>
      <c r="EU31" s="379" t="e">
        <f t="shared" si="51"/>
        <v>#N/A</v>
      </c>
      <c r="EV31" s="381"/>
      <c r="EW31" s="382"/>
      <c r="EX31" s="382"/>
      <c r="EY31" s="382"/>
      <c r="EZ31" s="382"/>
      <c r="FA31" s="382"/>
      <c r="FB31" s="382"/>
      <c r="FE31" s="583"/>
      <c r="FF31" s="583"/>
      <c r="FG31" s="583"/>
      <c r="FH31" s="583"/>
      <c r="FI31" s="583"/>
    </row>
    <row r="32" spans="1:165" ht="35" customHeight="1" x14ac:dyDescent="0.3">
      <c r="A32" s="330"/>
      <c r="B32" s="318"/>
      <c r="C32" s="318"/>
      <c r="D32" s="318"/>
      <c r="E32" s="318"/>
      <c r="F32" s="318"/>
      <c r="G32" s="318"/>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18"/>
      <c r="AM32" s="317"/>
      <c r="AN32" s="318"/>
      <c r="AO32" s="317"/>
      <c r="AP32" s="317"/>
      <c r="AQ32" s="317"/>
      <c r="AR32" s="317"/>
      <c r="AS32" s="317"/>
      <c r="AT32" s="317"/>
      <c r="AU32" s="318"/>
      <c r="AV32" s="318"/>
      <c r="AW32" s="318"/>
      <c r="AX32" s="318"/>
      <c r="AY32" s="318"/>
      <c r="AZ32" s="318"/>
      <c r="BA32" s="318"/>
      <c r="BB32" s="318"/>
      <c r="BC32" s="318"/>
      <c r="BD32" s="318"/>
      <c r="BE32" s="318"/>
      <c r="BF32" s="318"/>
      <c r="BG32" s="318"/>
      <c r="BH32" s="333"/>
      <c r="BI32" s="333"/>
      <c r="BJ32" s="333"/>
      <c r="BK32" s="333"/>
      <c r="BL32" s="333"/>
      <c r="BM32" s="333"/>
      <c r="BN32" s="333"/>
      <c r="BO32" s="333"/>
      <c r="BP32" s="333"/>
      <c r="BQ32" s="333"/>
      <c r="BR32" s="333"/>
      <c r="BS32" s="333"/>
      <c r="BT32" s="334"/>
      <c r="BU32" s="335"/>
      <c r="BV32" s="346"/>
      <c r="BY32" s="376"/>
      <c r="BZ32" s="373"/>
      <c r="CA32" s="373"/>
      <c r="CB32" s="373"/>
      <c r="CC32" s="373"/>
      <c r="CD32" s="373"/>
      <c r="CE32" s="373"/>
      <c r="CF32" s="373"/>
      <c r="CG32" s="373"/>
      <c r="CH32" s="378" t="e">
        <f t="shared" si="13"/>
        <v>#N/A</v>
      </c>
      <c r="CI32" s="378" t="e">
        <f t="shared" si="14"/>
        <v>#N/A</v>
      </c>
      <c r="CJ32" s="378" t="e">
        <f t="shared" si="15"/>
        <v>#N/A</v>
      </c>
      <c r="CK32" s="378" t="e">
        <f t="shared" si="16"/>
        <v>#N/A</v>
      </c>
      <c r="CL32" s="378" t="e">
        <f t="shared" si="17"/>
        <v>#N/A</v>
      </c>
      <c r="CM32" s="378" t="e">
        <f t="shared" si="18"/>
        <v>#N/A</v>
      </c>
      <c r="CN32" s="378" t="e">
        <f t="shared" si="19"/>
        <v>#N/A</v>
      </c>
      <c r="CO32" s="378" t="e">
        <f t="shared" si="20"/>
        <v>#N/A</v>
      </c>
      <c r="CP32" s="378" t="e">
        <f t="shared" si="21"/>
        <v>#N/A</v>
      </c>
      <c r="CQ32" s="378" t="e">
        <f t="shared" si="22"/>
        <v>#N/A</v>
      </c>
      <c r="CR32" s="354" t="e">
        <f t="shared" si="54"/>
        <v>#N/A</v>
      </c>
      <c r="CS32" s="379" t="e">
        <f>(HLOOKUP($AI32,'Inflation Adjustments'!$B$3:$BT$4,2,TRUE))*CH32</f>
        <v>#N/A</v>
      </c>
      <c r="CT32" s="379" t="e">
        <f>(HLOOKUP($AI32,'Inflation Adjustments'!$B$3:$BT$4,2,TRUE))*CI32</f>
        <v>#N/A</v>
      </c>
      <c r="CU32" s="379" t="e">
        <f>(HLOOKUP($AI32,'Inflation Adjustments'!$B$3:$BT$4,2,TRUE))*CJ32</f>
        <v>#N/A</v>
      </c>
      <c r="CV32" s="379" t="e">
        <f>(HLOOKUP($AI32,'Inflation Adjustments'!$B$3:$BT$4,2,TRUE))*CK32</f>
        <v>#N/A</v>
      </c>
      <c r="CW32" s="379" t="e">
        <f>(HLOOKUP($AI32,'Inflation Adjustments'!$B$3:$BT$4,2,TRUE))*CL32</f>
        <v>#N/A</v>
      </c>
      <c r="CX32" s="379" t="e">
        <f>(HLOOKUP($AI32,'Inflation Adjustments'!$B$3:$BT$4,2,TRUE))*CM32</f>
        <v>#N/A</v>
      </c>
      <c r="CY32" s="379" t="e">
        <f>(HLOOKUP($AI32,'Inflation Adjustments'!$B$3:$BT$4,2,TRUE))*CN32</f>
        <v>#N/A</v>
      </c>
      <c r="CZ32" s="379" t="e">
        <f>(HLOOKUP($AI32,'Inflation Adjustments'!$B$3:$BT$4,2,TRUE))*CO32</f>
        <v>#N/A</v>
      </c>
      <c r="DA32" s="379" t="e">
        <f>(HLOOKUP($AI32,'Inflation Adjustments'!$B$3:$BT$4,2,TRUE))*CP32</f>
        <v>#N/A</v>
      </c>
      <c r="DB32" s="379" t="e">
        <f>(HLOOKUP($AI32,'Inflation Adjustments'!$B$3:$BT$4,2,TRUE))*CQ32</f>
        <v>#N/A</v>
      </c>
      <c r="DC32" s="379" t="e">
        <f t="shared" si="24"/>
        <v>#N/A</v>
      </c>
      <c r="DD32" s="354">
        <f t="shared" si="25"/>
        <v>2022</v>
      </c>
      <c r="DE32" s="378" t="e">
        <f t="shared" si="26"/>
        <v>#N/A</v>
      </c>
      <c r="DF32" s="378" t="e">
        <f t="shared" si="27"/>
        <v>#N/A</v>
      </c>
      <c r="DG32" s="378" t="e">
        <f t="shared" si="28"/>
        <v>#N/A</v>
      </c>
      <c r="DH32" s="378" t="e">
        <f t="shared" si="29"/>
        <v>#N/A</v>
      </c>
      <c r="DI32" s="378" t="e">
        <f t="shared" si="30"/>
        <v>#N/A</v>
      </c>
      <c r="DJ32" s="378" t="e">
        <f t="shared" si="31"/>
        <v>#N/A</v>
      </c>
      <c r="DK32" s="378" t="e">
        <f t="shared" si="48"/>
        <v>#N/A</v>
      </c>
      <c r="DL32" s="378" t="e">
        <f t="shared" si="48"/>
        <v>#N/A</v>
      </c>
      <c r="DM32" s="378" t="e">
        <f t="shared" si="33"/>
        <v>#N/A</v>
      </c>
      <c r="DN32" s="378" t="e">
        <f t="shared" si="34"/>
        <v>#N/A</v>
      </c>
      <c r="DO32" s="380" t="e">
        <f t="shared" si="44"/>
        <v>#N/A</v>
      </c>
      <c r="DP32" s="380" t="e">
        <f t="shared" si="44"/>
        <v>#N/A</v>
      </c>
      <c r="DQ32" s="380" t="e">
        <f t="shared" si="44"/>
        <v>#N/A</v>
      </c>
      <c r="DR32" s="380" t="e">
        <f t="shared" si="44"/>
        <v>#N/A</v>
      </c>
      <c r="DS32" s="380" t="e">
        <f t="shared" si="44"/>
        <v>#N/A</v>
      </c>
      <c r="DT32" s="380" t="e">
        <f t="shared" si="44"/>
        <v>#N/A</v>
      </c>
      <c r="DU32" s="380" t="e">
        <f t="shared" si="44"/>
        <v>#N/A</v>
      </c>
      <c r="DV32" s="380" t="e">
        <f t="shared" si="44"/>
        <v>#N/A</v>
      </c>
      <c r="DW32" s="380" t="e">
        <f t="shared" si="44"/>
        <v>#N/A</v>
      </c>
      <c r="DX32" s="380" t="e">
        <f t="shared" si="44"/>
        <v>#N/A</v>
      </c>
      <c r="DY32" s="380" t="e">
        <f t="shared" si="55"/>
        <v>#N/A</v>
      </c>
      <c r="DZ32" s="378" t="e">
        <f t="shared" si="45"/>
        <v>#N/A</v>
      </c>
      <c r="EA32" s="378" t="e">
        <f t="shared" si="45"/>
        <v>#N/A</v>
      </c>
      <c r="EB32" s="378" t="e">
        <f t="shared" si="45"/>
        <v>#N/A</v>
      </c>
      <c r="EC32" s="378" t="e">
        <f t="shared" si="45"/>
        <v>#N/A</v>
      </c>
      <c r="ED32" s="378" t="e">
        <f t="shared" si="45"/>
        <v>#N/A</v>
      </c>
      <c r="EE32" s="378" t="e">
        <f t="shared" si="45"/>
        <v>#N/A</v>
      </c>
      <c r="EF32" s="378" t="e">
        <f t="shared" si="45"/>
        <v>#N/A</v>
      </c>
      <c r="EG32" s="378" t="e">
        <f t="shared" si="45"/>
        <v>#N/A</v>
      </c>
      <c r="EH32" s="378" t="e">
        <f t="shared" si="45"/>
        <v>#N/A</v>
      </c>
      <c r="EI32" s="378" t="e">
        <f t="shared" si="45"/>
        <v>#N/A</v>
      </c>
      <c r="EJ32" s="354" t="e">
        <f t="shared" si="50"/>
        <v>#N/A</v>
      </c>
      <c r="EK32" s="380" t="e">
        <f t="shared" si="46"/>
        <v>#N/A</v>
      </c>
      <c r="EL32" s="380" t="e">
        <f t="shared" si="46"/>
        <v>#N/A</v>
      </c>
      <c r="EM32" s="380" t="e">
        <f t="shared" si="46"/>
        <v>#N/A</v>
      </c>
      <c r="EN32" s="380" t="e">
        <f t="shared" si="46"/>
        <v>#N/A</v>
      </c>
      <c r="EO32" s="380" t="e">
        <f t="shared" si="46"/>
        <v>#N/A</v>
      </c>
      <c r="EP32" s="380" t="e">
        <f t="shared" si="46"/>
        <v>#N/A</v>
      </c>
      <c r="EQ32" s="380" t="e">
        <f t="shared" si="46"/>
        <v>#N/A</v>
      </c>
      <c r="ER32" s="380" t="e">
        <f t="shared" si="46"/>
        <v>#N/A</v>
      </c>
      <c r="ES32" s="380" t="e">
        <f t="shared" si="46"/>
        <v>#N/A</v>
      </c>
      <c r="ET32" s="380" t="e">
        <f t="shared" si="46"/>
        <v>#N/A</v>
      </c>
      <c r="EU32" s="379" t="e">
        <f t="shared" si="51"/>
        <v>#N/A</v>
      </c>
      <c r="EV32" s="381"/>
      <c r="EW32" s="382"/>
      <c r="EX32" s="382"/>
      <c r="EY32" s="382"/>
      <c r="EZ32" s="382"/>
      <c r="FA32" s="382"/>
      <c r="FB32" s="382"/>
      <c r="FE32" s="583"/>
      <c r="FF32" s="583"/>
      <c r="FG32" s="583"/>
      <c r="FH32" s="583"/>
      <c r="FI32" s="583"/>
    </row>
    <row r="33" spans="1:158" ht="50" customHeight="1" x14ac:dyDescent="0.3">
      <c r="A33" s="318"/>
      <c r="B33" s="318"/>
      <c r="C33" s="318"/>
      <c r="D33" s="318"/>
      <c r="E33" s="318"/>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8"/>
      <c r="AM33" s="317"/>
      <c r="AN33" s="318"/>
      <c r="AO33" s="317"/>
      <c r="AP33" s="317"/>
      <c r="AQ33" s="317"/>
      <c r="AR33" s="317"/>
      <c r="AS33" s="317"/>
      <c r="AT33" s="317"/>
      <c r="AU33" s="318"/>
      <c r="AV33" s="318"/>
      <c r="AW33" s="318"/>
      <c r="AX33" s="318"/>
      <c r="AY33" s="318"/>
      <c r="AZ33" s="318"/>
      <c r="BA33" s="318"/>
      <c r="BB33" s="318"/>
      <c r="BC33" s="318"/>
      <c r="BD33" s="318"/>
      <c r="BE33" s="318"/>
      <c r="BF33" s="318"/>
      <c r="BG33" s="318"/>
      <c r="BH33" s="333"/>
      <c r="BI33" s="333"/>
      <c r="BJ33" s="333"/>
      <c r="BK33" s="333"/>
      <c r="BL33" s="333"/>
      <c r="BM33" s="333"/>
      <c r="BN33" s="333"/>
      <c r="BO33" s="333"/>
      <c r="BP33" s="333"/>
      <c r="BQ33" s="333"/>
      <c r="BR33" s="333"/>
      <c r="BS33" s="333"/>
      <c r="BT33" s="334"/>
      <c r="BU33" s="335"/>
      <c r="BV33" s="144"/>
      <c r="BY33" s="376"/>
      <c r="BZ33" s="373"/>
      <c r="CA33" s="373"/>
      <c r="CB33" s="373"/>
      <c r="CC33" s="373"/>
      <c r="CD33" s="373"/>
      <c r="CE33" s="373"/>
      <c r="CF33" s="373"/>
      <c r="CG33" s="373"/>
      <c r="CH33" s="378" t="e">
        <f t="shared" si="13"/>
        <v>#N/A</v>
      </c>
      <c r="CI33" s="378" t="e">
        <f t="shared" si="14"/>
        <v>#N/A</v>
      </c>
      <c r="CJ33" s="378" t="e">
        <f t="shared" si="15"/>
        <v>#N/A</v>
      </c>
      <c r="CK33" s="378" t="e">
        <f t="shared" si="16"/>
        <v>#N/A</v>
      </c>
      <c r="CL33" s="378" t="e">
        <f t="shared" si="17"/>
        <v>#N/A</v>
      </c>
      <c r="CM33" s="378" t="e">
        <f t="shared" si="18"/>
        <v>#N/A</v>
      </c>
      <c r="CN33" s="378" t="e">
        <f t="shared" si="19"/>
        <v>#N/A</v>
      </c>
      <c r="CO33" s="378" t="e">
        <f t="shared" si="20"/>
        <v>#N/A</v>
      </c>
      <c r="CP33" s="378" t="e">
        <f t="shared" si="21"/>
        <v>#N/A</v>
      </c>
      <c r="CQ33" s="378" t="e">
        <f t="shared" si="22"/>
        <v>#N/A</v>
      </c>
      <c r="CR33" s="354" t="e">
        <f t="shared" si="54"/>
        <v>#N/A</v>
      </c>
      <c r="CS33" s="379" t="e">
        <f>(HLOOKUP($AI33,'Inflation Adjustments'!$B$3:$BT$4,2,TRUE))*CH33</f>
        <v>#N/A</v>
      </c>
      <c r="CT33" s="379" t="e">
        <f>(HLOOKUP($AI33,'Inflation Adjustments'!$B$3:$BT$4,2,TRUE))*CI33</f>
        <v>#N/A</v>
      </c>
      <c r="CU33" s="379" t="e">
        <f>(HLOOKUP($AI33,'Inflation Adjustments'!$B$3:$BT$4,2,TRUE))*CJ33</f>
        <v>#N/A</v>
      </c>
      <c r="CV33" s="379" t="e">
        <f>(HLOOKUP($AI33,'Inflation Adjustments'!$B$3:$BT$4,2,TRUE))*CK33</f>
        <v>#N/A</v>
      </c>
      <c r="CW33" s="379" t="e">
        <f>(HLOOKUP($AI33,'Inflation Adjustments'!$B$3:$BT$4,2,TRUE))*CL33</f>
        <v>#N/A</v>
      </c>
      <c r="CX33" s="379" t="e">
        <f>(HLOOKUP($AI33,'Inflation Adjustments'!$B$3:$BT$4,2,TRUE))*CM33</f>
        <v>#N/A</v>
      </c>
      <c r="CY33" s="379" t="e">
        <f>(HLOOKUP($AI33,'Inflation Adjustments'!$B$3:$BT$4,2,TRUE))*CN33</f>
        <v>#N/A</v>
      </c>
      <c r="CZ33" s="379" t="e">
        <f>(HLOOKUP($AI33,'Inflation Adjustments'!$B$3:$BT$4,2,TRUE))*CO33</f>
        <v>#N/A</v>
      </c>
      <c r="DA33" s="379" t="e">
        <f>(HLOOKUP($AI33,'Inflation Adjustments'!$B$3:$BT$4,2,TRUE))*CP33</f>
        <v>#N/A</v>
      </c>
      <c r="DB33" s="379" t="e">
        <f>(HLOOKUP($AI33,'Inflation Adjustments'!$B$3:$BT$4,2,TRUE))*CQ33</f>
        <v>#N/A</v>
      </c>
      <c r="DC33" s="379" t="e">
        <f t="shared" si="24"/>
        <v>#N/A</v>
      </c>
      <c r="DD33" s="354">
        <f t="shared" si="25"/>
        <v>2022</v>
      </c>
      <c r="DE33" s="378" t="e">
        <f t="shared" si="26"/>
        <v>#N/A</v>
      </c>
      <c r="DF33" s="378" t="e">
        <f t="shared" si="27"/>
        <v>#N/A</v>
      </c>
      <c r="DG33" s="378" t="e">
        <f t="shared" si="28"/>
        <v>#N/A</v>
      </c>
      <c r="DH33" s="378" t="e">
        <f t="shared" si="29"/>
        <v>#N/A</v>
      </c>
      <c r="DI33" s="378" t="e">
        <f t="shared" si="30"/>
        <v>#N/A</v>
      </c>
      <c r="DJ33" s="378" t="e">
        <f t="shared" si="31"/>
        <v>#N/A</v>
      </c>
      <c r="DK33" s="378" t="e">
        <f t="shared" si="48"/>
        <v>#N/A</v>
      </c>
      <c r="DL33" s="378" t="e">
        <f t="shared" si="48"/>
        <v>#N/A</v>
      </c>
      <c r="DM33" s="378" t="e">
        <f t="shared" si="33"/>
        <v>#N/A</v>
      </c>
      <c r="DN33" s="378" t="e">
        <f t="shared" si="34"/>
        <v>#N/A</v>
      </c>
      <c r="DO33" s="380" t="e">
        <f t="shared" si="44"/>
        <v>#N/A</v>
      </c>
      <c r="DP33" s="380" t="e">
        <f t="shared" si="44"/>
        <v>#N/A</v>
      </c>
      <c r="DQ33" s="380" t="e">
        <f t="shared" si="44"/>
        <v>#N/A</v>
      </c>
      <c r="DR33" s="380" t="e">
        <f t="shared" si="44"/>
        <v>#N/A</v>
      </c>
      <c r="DS33" s="380" t="e">
        <f t="shared" si="44"/>
        <v>#N/A</v>
      </c>
      <c r="DT33" s="380" t="e">
        <f t="shared" si="44"/>
        <v>#N/A</v>
      </c>
      <c r="DU33" s="380" t="e">
        <f t="shared" si="44"/>
        <v>#N/A</v>
      </c>
      <c r="DV33" s="380" t="e">
        <f t="shared" si="44"/>
        <v>#N/A</v>
      </c>
      <c r="DW33" s="380" t="e">
        <f t="shared" si="44"/>
        <v>#N/A</v>
      </c>
      <c r="DX33" s="380" t="e">
        <f t="shared" si="44"/>
        <v>#N/A</v>
      </c>
      <c r="DY33" s="380" t="e">
        <f t="shared" si="55"/>
        <v>#N/A</v>
      </c>
      <c r="DZ33" s="378" t="e">
        <f t="shared" si="45"/>
        <v>#N/A</v>
      </c>
      <c r="EA33" s="378" t="e">
        <f t="shared" si="45"/>
        <v>#N/A</v>
      </c>
      <c r="EB33" s="378" t="e">
        <f t="shared" si="45"/>
        <v>#N/A</v>
      </c>
      <c r="EC33" s="378" t="e">
        <f t="shared" si="45"/>
        <v>#N/A</v>
      </c>
      <c r="ED33" s="378" t="e">
        <f t="shared" si="45"/>
        <v>#N/A</v>
      </c>
      <c r="EE33" s="378" t="e">
        <f t="shared" si="45"/>
        <v>#N/A</v>
      </c>
      <c r="EF33" s="378" t="e">
        <f t="shared" si="45"/>
        <v>#N/A</v>
      </c>
      <c r="EG33" s="378" t="e">
        <f t="shared" si="45"/>
        <v>#N/A</v>
      </c>
      <c r="EH33" s="378" t="e">
        <f t="shared" si="45"/>
        <v>#N/A</v>
      </c>
      <c r="EI33" s="378" t="e">
        <f t="shared" si="45"/>
        <v>#N/A</v>
      </c>
      <c r="EJ33" s="354" t="e">
        <f t="shared" si="50"/>
        <v>#N/A</v>
      </c>
      <c r="EK33" s="380" t="e">
        <f t="shared" si="46"/>
        <v>#N/A</v>
      </c>
      <c r="EL33" s="380" t="e">
        <f t="shared" si="46"/>
        <v>#N/A</v>
      </c>
      <c r="EM33" s="380" t="e">
        <f t="shared" si="46"/>
        <v>#N/A</v>
      </c>
      <c r="EN33" s="380" t="e">
        <f t="shared" si="46"/>
        <v>#N/A</v>
      </c>
      <c r="EO33" s="380" t="e">
        <f t="shared" si="46"/>
        <v>#N/A</v>
      </c>
      <c r="EP33" s="380" t="e">
        <f t="shared" si="46"/>
        <v>#N/A</v>
      </c>
      <c r="EQ33" s="380" t="e">
        <f t="shared" si="46"/>
        <v>#N/A</v>
      </c>
      <c r="ER33" s="380" t="e">
        <f t="shared" si="46"/>
        <v>#N/A</v>
      </c>
      <c r="ES33" s="380" t="e">
        <f t="shared" si="46"/>
        <v>#N/A</v>
      </c>
      <c r="ET33" s="380" t="e">
        <f t="shared" si="46"/>
        <v>#N/A</v>
      </c>
      <c r="EU33" s="379" t="e">
        <f t="shared" si="51"/>
        <v>#N/A</v>
      </c>
      <c r="EV33" s="382"/>
      <c r="EW33" s="382"/>
      <c r="EX33" s="382"/>
      <c r="EY33" s="382"/>
      <c r="EZ33" s="382"/>
      <c r="FA33" s="382"/>
      <c r="FB33" s="382"/>
    </row>
    <row r="34" spans="1:158" ht="45.5" customHeight="1" x14ac:dyDescent="0.3">
      <c r="A34" s="318"/>
      <c r="B34" s="318"/>
      <c r="C34" s="318"/>
      <c r="D34" s="318"/>
      <c r="E34" s="318"/>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c r="AI34" s="318"/>
      <c r="AJ34" s="318"/>
      <c r="AK34" s="318"/>
      <c r="AL34" s="318"/>
      <c r="AM34" s="317"/>
      <c r="AN34" s="318"/>
      <c r="AO34" s="317"/>
      <c r="AP34" s="317"/>
      <c r="AQ34" s="317"/>
      <c r="AR34" s="317"/>
      <c r="AS34" s="317"/>
      <c r="AT34" s="317"/>
      <c r="AU34" s="318"/>
      <c r="AV34" s="318"/>
      <c r="AW34" s="318"/>
      <c r="AX34" s="318"/>
      <c r="AY34" s="318"/>
      <c r="AZ34" s="318"/>
      <c r="BA34" s="318"/>
      <c r="BB34" s="318"/>
      <c r="BC34" s="318"/>
      <c r="BD34" s="318"/>
      <c r="BE34" s="318"/>
      <c r="BF34" s="318"/>
      <c r="BG34" s="318"/>
      <c r="BH34" s="333"/>
      <c r="BI34" s="333"/>
      <c r="BJ34" s="333"/>
      <c r="BK34" s="333"/>
      <c r="BL34" s="333"/>
      <c r="BM34" s="333"/>
      <c r="BN34" s="333"/>
      <c r="BO34" s="333"/>
      <c r="BP34" s="333"/>
      <c r="BQ34" s="333"/>
      <c r="BR34" s="333"/>
      <c r="BS34" s="333"/>
      <c r="BT34" s="334"/>
      <c r="BU34" s="335"/>
      <c r="BV34" s="144"/>
      <c r="BY34" s="376"/>
      <c r="BZ34" s="373"/>
      <c r="CA34" s="373"/>
      <c r="CB34" s="373"/>
      <c r="CC34" s="373"/>
      <c r="CD34" s="373"/>
      <c r="CE34" s="373"/>
      <c r="CF34" s="373"/>
      <c r="CG34" s="373"/>
      <c r="CH34" s="378" t="e">
        <f t="shared" si="13"/>
        <v>#N/A</v>
      </c>
      <c r="CI34" s="378" t="e">
        <f t="shared" si="14"/>
        <v>#N/A</v>
      </c>
      <c r="CJ34" s="378" t="e">
        <f t="shared" si="15"/>
        <v>#N/A</v>
      </c>
      <c r="CK34" s="378" t="e">
        <f t="shared" si="16"/>
        <v>#N/A</v>
      </c>
      <c r="CL34" s="378" t="e">
        <f t="shared" si="17"/>
        <v>#N/A</v>
      </c>
      <c r="CM34" s="378" t="e">
        <f t="shared" si="18"/>
        <v>#N/A</v>
      </c>
      <c r="CN34" s="378" t="e">
        <f t="shared" si="19"/>
        <v>#N/A</v>
      </c>
      <c r="CO34" s="378" t="e">
        <f t="shared" si="20"/>
        <v>#N/A</v>
      </c>
      <c r="CP34" s="378" t="e">
        <f t="shared" si="21"/>
        <v>#N/A</v>
      </c>
      <c r="CQ34" s="378" t="e">
        <f t="shared" si="22"/>
        <v>#N/A</v>
      </c>
      <c r="CR34" s="354" t="e">
        <f t="shared" si="54"/>
        <v>#N/A</v>
      </c>
      <c r="CS34" s="379" t="e">
        <f>(HLOOKUP($AI34,'Inflation Adjustments'!$B$3:$BT$4,2,TRUE))*CH34</f>
        <v>#N/A</v>
      </c>
      <c r="CT34" s="379" t="e">
        <f>(HLOOKUP($AI34,'Inflation Adjustments'!$B$3:$BT$4,2,TRUE))*CI34</f>
        <v>#N/A</v>
      </c>
      <c r="CU34" s="379" t="e">
        <f>(HLOOKUP($AI34,'Inflation Adjustments'!$B$3:$BT$4,2,TRUE))*CJ34</f>
        <v>#N/A</v>
      </c>
      <c r="CV34" s="379" t="e">
        <f>(HLOOKUP($AI34,'Inflation Adjustments'!$B$3:$BT$4,2,TRUE))*CK34</f>
        <v>#N/A</v>
      </c>
      <c r="CW34" s="379" t="e">
        <f>(HLOOKUP($AI34,'Inflation Adjustments'!$B$3:$BT$4,2,TRUE))*CL34</f>
        <v>#N/A</v>
      </c>
      <c r="CX34" s="379" t="e">
        <f>(HLOOKUP($AI34,'Inflation Adjustments'!$B$3:$BT$4,2,TRUE))*CM34</f>
        <v>#N/A</v>
      </c>
      <c r="CY34" s="379" t="e">
        <f>(HLOOKUP($AI34,'Inflation Adjustments'!$B$3:$BT$4,2,TRUE))*CN34</f>
        <v>#N/A</v>
      </c>
      <c r="CZ34" s="379" t="e">
        <f>(HLOOKUP($AI34,'Inflation Adjustments'!$B$3:$BT$4,2,TRUE))*CO34</f>
        <v>#N/A</v>
      </c>
      <c r="DA34" s="379" t="e">
        <f>(HLOOKUP($AI34,'Inflation Adjustments'!$B$3:$BT$4,2,TRUE))*CP34</f>
        <v>#N/A</v>
      </c>
      <c r="DB34" s="379" t="e">
        <f>(HLOOKUP($AI34,'Inflation Adjustments'!$B$3:$BT$4,2,TRUE))*CQ34</f>
        <v>#N/A</v>
      </c>
      <c r="DC34" s="379" t="e">
        <f t="shared" si="24"/>
        <v>#N/A</v>
      </c>
      <c r="DD34" s="354">
        <f t="shared" si="25"/>
        <v>2022</v>
      </c>
      <c r="DE34" s="378" t="e">
        <f t="shared" si="26"/>
        <v>#N/A</v>
      </c>
      <c r="DF34" s="378" t="e">
        <f t="shared" si="27"/>
        <v>#N/A</v>
      </c>
      <c r="DG34" s="378" t="e">
        <f t="shared" si="28"/>
        <v>#N/A</v>
      </c>
      <c r="DH34" s="378" t="e">
        <f t="shared" si="29"/>
        <v>#N/A</v>
      </c>
      <c r="DI34" s="378" t="e">
        <f t="shared" si="30"/>
        <v>#N/A</v>
      </c>
      <c r="DJ34" s="378" t="e">
        <f t="shared" si="31"/>
        <v>#N/A</v>
      </c>
      <c r="DK34" s="378" t="e">
        <f t="shared" si="48"/>
        <v>#N/A</v>
      </c>
      <c r="DL34" s="378" t="e">
        <f t="shared" si="48"/>
        <v>#N/A</v>
      </c>
      <c r="DM34" s="378" t="e">
        <f t="shared" si="33"/>
        <v>#N/A</v>
      </c>
      <c r="DN34" s="378" t="e">
        <f t="shared" si="34"/>
        <v>#N/A</v>
      </c>
      <c r="DO34" s="380" t="e">
        <f t="shared" si="44"/>
        <v>#N/A</v>
      </c>
      <c r="DP34" s="380" t="e">
        <f t="shared" si="44"/>
        <v>#N/A</v>
      </c>
      <c r="DQ34" s="380" t="e">
        <f t="shared" si="44"/>
        <v>#N/A</v>
      </c>
      <c r="DR34" s="380" t="e">
        <f t="shared" si="44"/>
        <v>#N/A</v>
      </c>
      <c r="DS34" s="380" t="e">
        <f t="shared" si="44"/>
        <v>#N/A</v>
      </c>
      <c r="DT34" s="380" t="e">
        <f t="shared" si="44"/>
        <v>#N/A</v>
      </c>
      <c r="DU34" s="380" t="e">
        <f t="shared" si="44"/>
        <v>#N/A</v>
      </c>
      <c r="DV34" s="380" t="e">
        <f t="shared" si="44"/>
        <v>#N/A</v>
      </c>
      <c r="DW34" s="380" t="e">
        <f t="shared" si="44"/>
        <v>#N/A</v>
      </c>
      <c r="DX34" s="380" t="e">
        <f t="shared" si="44"/>
        <v>#N/A</v>
      </c>
      <c r="DY34" s="380" t="e">
        <f t="shared" si="55"/>
        <v>#N/A</v>
      </c>
      <c r="DZ34" s="378" t="e">
        <f t="shared" si="45"/>
        <v>#N/A</v>
      </c>
      <c r="EA34" s="378" t="e">
        <f t="shared" si="45"/>
        <v>#N/A</v>
      </c>
      <c r="EB34" s="378" t="e">
        <f t="shared" si="45"/>
        <v>#N/A</v>
      </c>
      <c r="EC34" s="378" t="e">
        <f t="shared" si="45"/>
        <v>#N/A</v>
      </c>
      <c r="ED34" s="378" t="e">
        <f t="shared" si="45"/>
        <v>#N/A</v>
      </c>
      <c r="EE34" s="378" t="e">
        <f t="shared" si="45"/>
        <v>#N/A</v>
      </c>
      <c r="EF34" s="378" t="e">
        <f t="shared" si="45"/>
        <v>#N/A</v>
      </c>
      <c r="EG34" s="378" t="e">
        <f t="shared" si="45"/>
        <v>#N/A</v>
      </c>
      <c r="EH34" s="378" t="e">
        <f t="shared" si="45"/>
        <v>#N/A</v>
      </c>
      <c r="EI34" s="378" t="e">
        <f t="shared" si="45"/>
        <v>#N/A</v>
      </c>
      <c r="EJ34" s="354" t="e">
        <f t="shared" si="50"/>
        <v>#N/A</v>
      </c>
      <c r="EK34" s="380" t="e">
        <f t="shared" si="46"/>
        <v>#N/A</v>
      </c>
      <c r="EL34" s="380" t="e">
        <f t="shared" si="46"/>
        <v>#N/A</v>
      </c>
      <c r="EM34" s="380" t="e">
        <f t="shared" si="46"/>
        <v>#N/A</v>
      </c>
      <c r="EN34" s="380" t="e">
        <f t="shared" si="46"/>
        <v>#N/A</v>
      </c>
      <c r="EO34" s="380" t="e">
        <f t="shared" si="46"/>
        <v>#N/A</v>
      </c>
      <c r="EP34" s="380" t="e">
        <f t="shared" si="46"/>
        <v>#N/A</v>
      </c>
      <c r="EQ34" s="380" t="e">
        <f t="shared" si="46"/>
        <v>#N/A</v>
      </c>
      <c r="ER34" s="380" t="e">
        <f t="shared" si="46"/>
        <v>#N/A</v>
      </c>
      <c r="ES34" s="380" t="e">
        <f t="shared" si="46"/>
        <v>#N/A</v>
      </c>
      <c r="ET34" s="380" t="e">
        <f t="shared" si="46"/>
        <v>#N/A</v>
      </c>
      <c r="EU34" s="379" t="e">
        <f t="shared" si="51"/>
        <v>#N/A</v>
      </c>
      <c r="EV34" s="382"/>
      <c r="EW34" s="382"/>
      <c r="EX34" s="382"/>
      <c r="EY34" s="382"/>
      <c r="EZ34" s="382"/>
      <c r="FA34" s="382"/>
      <c r="FB34" s="382"/>
    </row>
    <row r="35" spans="1:158" x14ac:dyDescent="0.3">
      <c r="M35" s="432"/>
      <c r="AM35" s="385"/>
      <c r="AO35" s="385"/>
      <c r="AP35" s="385"/>
      <c r="AQ35" s="385"/>
      <c r="AS35" s="385"/>
      <c r="AT35" s="385"/>
      <c r="BG35" s="282"/>
    </row>
    <row r="36" spans="1:158" x14ac:dyDescent="0.3">
      <c r="BG36" s="282"/>
    </row>
    <row r="37" spans="1:158" x14ac:dyDescent="0.3">
      <c r="BG37" s="282"/>
    </row>
    <row r="38" spans="1:158" x14ac:dyDescent="0.3">
      <c r="BG38" s="282"/>
    </row>
    <row r="41" spans="1:158" x14ac:dyDescent="0.3">
      <c r="BF41" s="282"/>
    </row>
    <row r="42" spans="1:158" x14ac:dyDescent="0.3">
      <c r="BF42" s="282"/>
    </row>
    <row r="43" spans="1:158" x14ac:dyDescent="0.3">
      <c r="BF43" s="282"/>
    </row>
    <row r="44" spans="1:158" x14ac:dyDescent="0.3">
      <c r="BF44" s="282"/>
    </row>
    <row r="50" spans="2:46" ht="39" customHeight="1" x14ac:dyDescent="0.3">
      <c r="B50" s="91" t="s">
        <v>52</v>
      </c>
      <c r="AM50" s="508">
        <f>SUM(AM5:AM5)</f>
        <v>2514591.4343875227</v>
      </c>
      <c r="AN50" s="508">
        <f t="shared" ref="AN50:AT50" si="56">SUM(AN5:AN5)</f>
        <v>0</v>
      </c>
      <c r="AO50" s="508">
        <f t="shared" si="56"/>
        <v>651931.11261898756</v>
      </c>
      <c r="AP50" s="508">
        <f t="shared" si="56"/>
        <v>1862660.3217685353</v>
      </c>
      <c r="AQ50" s="508">
        <f t="shared" si="56"/>
        <v>65193.111261898746</v>
      </c>
      <c r="AR50" s="508">
        <f t="shared" si="56"/>
        <v>1797467.2105066366</v>
      </c>
      <c r="AS50" s="508">
        <f t="shared" si="56"/>
        <v>4635056.671875</v>
      </c>
      <c r="AT50" s="508">
        <f t="shared" si="56"/>
        <v>23175.283359375</v>
      </c>
    </row>
  </sheetData>
  <mergeCells count="68">
    <mergeCell ref="A1:B1"/>
    <mergeCell ref="A2:I2"/>
    <mergeCell ref="J2:AE2"/>
    <mergeCell ref="AF2:AR2"/>
    <mergeCell ref="AS2:BG2"/>
    <mergeCell ref="DO2:EJ2"/>
    <mergeCell ref="EV2:FB2"/>
    <mergeCell ref="J3:S3"/>
    <mergeCell ref="T3:AC3"/>
    <mergeCell ref="AS3:AS4"/>
    <mergeCell ref="AT3:AT4"/>
    <mergeCell ref="AU3:BD3"/>
    <mergeCell ref="BE3:BE4"/>
    <mergeCell ref="BF3:BF4"/>
    <mergeCell ref="BH3:BH4"/>
    <mergeCell ref="BH2:BT2"/>
    <mergeCell ref="BI3:BI4"/>
    <mergeCell ref="BJ3:BJ4"/>
    <mergeCell ref="BK3:BK4"/>
    <mergeCell ref="BL3:BL4"/>
    <mergeCell ref="BM3:BM4"/>
    <mergeCell ref="DZ3:EJ3"/>
    <mergeCell ref="BO3:BO4"/>
    <mergeCell ref="BP3:BP4"/>
    <mergeCell ref="BQ3:BQ4"/>
    <mergeCell ref="BR3:BR4"/>
    <mergeCell ref="BS3:BS4"/>
    <mergeCell ref="BT3:BT4"/>
    <mergeCell ref="BU3:BU4"/>
    <mergeCell ref="CH3:CR3"/>
    <mergeCell ref="CS3:DC3"/>
    <mergeCell ref="DE3:DN3"/>
    <mergeCell ref="DO3:DY3"/>
    <mergeCell ref="BN3:BN4"/>
    <mergeCell ref="FA3:FA4"/>
    <mergeCell ref="FB3:FB4"/>
    <mergeCell ref="FE5:FI5"/>
    <mergeCell ref="FE6:FI6"/>
    <mergeCell ref="EK3:EU3"/>
    <mergeCell ref="EV3:EV4"/>
    <mergeCell ref="EW3:EW4"/>
    <mergeCell ref="EX3:EX4"/>
    <mergeCell ref="EY3:EY4"/>
    <mergeCell ref="EZ3:EZ4"/>
    <mergeCell ref="FE21:FI21"/>
    <mergeCell ref="FE15:FI15"/>
    <mergeCell ref="FE16:FI16"/>
    <mergeCell ref="FE22:FI22"/>
    <mergeCell ref="FE23:FI23"/>
    <mergeCell ref="FE14:FI14"/>
    <mergeCell ref="FE17:FI17"/>
    <mergeCell ref="FE18:FI18"/>
    <mergeCell ref="FE19:FI19"/>
    <mergeCell ref="FE20:FI20"/>
    <mergeCell ref="FE9:FI9"/>
    <mergeCell ref="FE10:FI10"/>
    <mergeCell ref="FE11:FI11"/>
    <mergeCell ref="FE12:FI12"/>
    <mergeCell ref="FE13:FI13"/>
    <mergeCell ref="FE30:FI30"/>
    <mergeCell ref="FE31:FI31"/>
    <mergeCell ref="FE32:FI32"/>
    <mergeCell ref="FE24:FI24"/>
    <mergeCell ref="FE25:FI25"/>
    <mergeCell ref="FE26:FI26"/>
    <mergeCell ref="FE28:FI28"/>
    <mergeCell ref="FE29:FI29"/>
    <mergeCell ref="FE27:FI27"/>
  </mergeCells>
  <conditionalFormatting sqref="AU5:BA34">
    <cfRule type="cellIs" dxfId="114" priority="13" operator="equal">
      <formula>3</formula>
    </cfRule>
    <cfRule type="cellIs" dxfId="113" priority="14" operator="equal">
      <formula>1</formula>
    </cfRule>
    <cfRule type="cellIs" dxfId="112" priority="15" operator="equal">
      <formula>2</formula>
    </cfRule>
    <cfRule type="cellIs" dxfId="111" priority="16" operator="equal">
      <formula>3</formula>
    </cfRule>
    <cfRule type="cellIs" dxfId="110" priority="17" operator="greaterThan">
      <formula>3.9</formula>
    </cfRule>
  </conditionalFormatting>
  <conditionalFormatting sqref="BE1:BE49 BE51:BE1048576">
    <cfRule type="cellIs" dxfId="109" priority="9" operator="equal">
      <formula>1</formula>
    </cfRule>
    <cfRule type="cellIs" dxfId="108" priority="10" operator="equal">
      <formula>2</formula>
    </cfRule>
    <cfRule type="cellIs" dxfId="107" priority="11" operator="equal">
      <formula>3</formula>
    </cfRule>
  </conditionalFormatting>
  <conditionalFormatting sqref="BE5:BE34">
    <cfRule type="cellIs" dxfId="106" priority="12" operator="greaterThan">
      <formula>3.5</formula>
    </cfRule>
  </conditionalFormatting>
  <conditionalFormatting sqref="BG5:BG10">
    <cfRule type="cellIs" dxfId="105" priority="1" operator="lessThan">
      <formula>0.3</formula>
    </cfRule>
    <cfRule type="cellIs" dxfId="104" priority="2" operator="between">
      <formula>0.3</formula>
      <formula>0.5</formula>
    </cfRule>
    <cfRule type="cellIs" dxfId="103" priority="3" operator="between">
      <formula>0.5</formula>
      <formula>0.6</formula>
    </cfRule>
    <cfRule type="cellIs" dxfId="102" priority="4" operator="greaterThan">
      <formula>0.6</formula>
    </cfRule>
    <cfRule type="cellIs" dxfId="101" priority="5" operator="lessThan">
      <formula>0.21</formula>
    </cfRule>
    <cfRule type="cellIs" dxfId="100" priority="6" operator="between">
      <formula>0.21</formula>
      <formula>0.4</formula>
    </cfRule>
    <cfRule type="cellIs" dxfId="99" priority="7" operator="between">
      <formula>0.4</formula>
      <formula>0.6</formula>
    </cfRule>
    <cfRule type="cellIs" dxfId="98" priority="8" operator="lessThan">
      <formula>0.5</formula>
    </cfRule>
  </conditionalFormatting>
  <dataValidations count="8">
    <dataValidation type="list" allowBlank="1" showInputMessage="1" showErrorMessage="1" sqref="K25:K26" xr:uid="{86A60427-CBF3-4FF9-BBD0-0A73733841B1}">
      <formula1>$J$19:$J$26</formula1>
    </dataValidation>
    <dataValidation type="list" allowBlank="1" showInputMessage="1" showErrorMessage="1" sqref="R25:R26 R28:R34" xr:uid="{F6CAA22C-A0BF-4D72-A42E-FB53B42CFD8E}">
      <formula1>$J$92:$J$95</formula1>
    </dataValidation>
    <dataValidation type="list" allowBlank="1" showInputMessage="1" showErrorMessage="1" sqref="N27 N5 N7:N15" xr:uid="{3CC92B62-7AE2-4AB9-B956-7D71897E8B9D}">
      <formula1>$J$52:$J$58</formula1>
    </dataValidation>
    <dataValidation type="list" allowBlank="1" showInputMessage="1" showErrorMessage="1" sqref="P17:P24" xr:uid="{444C79FC-1043-47EC-B1D0-9AA8449EE33D}">
      <formula1>$J$72:$J$77</formula1>
    </dataValidation>
    <dataValidation type="list" allowBlank="1" showInputMessage="1" showErrorMessage="1" sqref="C15" xr:uid="{CF9FED03-1900-4E57-868F-3F680B152CED}">
      <formula1>$B$4:$B$53</formula1>
    </dataValidation>
    <dataValidation type="list" allowBlank="1" showInputMessage="1" showErrorMessage="1" sqref="D13:D18 D20:D34" xr:uid="{67ED22A9-5948-4BDB-A2BF-D0C02A242899}">
      <formula1>$D$4:$D$19</formula1>
    </dataValidation>
    <dataValidation type="list" allowBlank="1" showInputMessage="1" showErrorMessage="1" sqref="F19 F25:F26" xr:uid="{FDB08B20-941D-4732-8660-A5A6584C5C1C}">
      <formula1>$H$4:$H$21</formula1>
    </dataValidation>
    <dataValidation type="list" allowBlank="1" showInputMessage="1" showErrorMessage="1" sqref="Y4:AC4" xr:uid="{01C8A781-23F2-4323-9554-23702B15D27A}">
      <formula1>$I$4:$I$16</formula1>
    </dataValidation>
  </dataValidations>
  <pageMargins left="0.7" right="0.7" top="0.75" bottom="0.75" header="0.3" footer="0.3"/>
  <headerFooter>
    <oddFooter>&amp;C_x000D_&amp;1#&amp;"Calibri"&amp;8&amp;K000000 INTERNAL. This information is accessible to ADB Management and staff. It may be shared outside ADB with appropriate permission.</oddFooter>
  </headerFooter>
  <extLst>
    <ext xmlns:x14="http://schemas.microsoft.com/office/spreadsheetml/2009/9/main" uri="{CCE6A557-97BC-4b89-ADB6-D9C93CAAB3DF}">
      <x14:dataValidations xmlns:xm="http://schemas.microsoft.com/office/excel/2006/main" count="17">
        <x14:dataValidation type="list" allowBlank="1" showInputMessage="1" showErrorMessage="1" xr:uid="{349ADAE2-E240-48B3-A3EE-34706A100A01}">
          <x14:formula1>
            <xm:f>'AR-Hierarchy '!$B$4:$B$53</xm:f>
          </x14:formula1>
          <xm:sqref>C25:C34 C5 C7:C13</xm:sqref>
        </x14:dataValidation>
        <x14:dataValidation type="list" allowBlank="1" showInputMessage="1" showErrorMessage="1" xr:uid="{4C05A532-2875-45FF-A53D-ABAC7E621976}">
          <x14:formula1>
            <xm:f>'AR-Hierarchy '!#REF!</xm:f>
          </x14:formula1>
          <xm:sqref>E25:E34 E7:E13 D7:D12 D5:E5</xm:sqref>
        </x14:dataValidation>
        <x14:dataValidation type="list" allowBlank="1" showInputMessage="1" showErrorMessage="1" xr:uid="{79DBE046-FE7D-46E2-954F-BBA81D611A25}">
          <x14:formula1>
            <xm:f>'AR-Hierarchy '!$J$80:$J$83</xm:f>
          </x14:formula1>
          <xm:sqref>R27 R5 R7:R24</xm:sqref>
        </x14:dataValidation>
        <x14:dataValidation type="list" allowBlank="1" showInputMessage="1" showErrorMessage="1" xr:uid="{D9E6A041-96B2-4F08-B020-A149859B6C54}">
          <x14:formula1>
            <xm:f>'AR-Hierarchy '!$J$63:$J$68</xm:f>
          </x14:formula1>
          <xm:sqref>P25:P34 P5 P7:P14</xm:sqref>
        </x14:dataValidation>
        <x14:dataValidation type="list" allowBlank="1" showInputMessage="1" showErrorMessage="1" xr:uid="{2FE203C2-27B6-4653-8BCA-E7A09CE97C20}">
          <x14:formula1>
            <xm:f>'AR-Hierarchy '!$J$45:$J$51</xm:f>
          </x14:formula1>
          <xm:sqref>N17:N26 N28:N34</xm:sqref>
        </x14:dataValidation>
        <x14:dataValidation type="list" allowBlank="1" showInputMessage="1" showErrorMessage="1" xr:uid="{808BA1F8-DB02-418C-9BD1-3296441BD133}">
          <x14:formula1>
            <xm:f>'AR-Hierarchy '!$J$14:$J$21</xm:f>
          </x14:formula1>
          <xm:sqref>K27:K34 K5 K7:K24</xm:sqref>
        </x14:dataValidation>
        <x14:dataValidation type="list" allowBlank="1" showInputMessage="1" showErrorMessage="1" xr:uid="{5B38C70D-93F3-4137-8043-A4D48EEBD904}">
          <x14:formula1>
            <xm:f>'AR-Hierarchy '!$I$4:$I$14</xm:f>
          </x14:formula1>
          <xm:sqref>J4:S4</xm:sqref>
        </x14:dataValidation>
        <x14:dataValidation type="list" allowBlank="1" showInputMessage="1" showErrorMessage="1" xr:uid="{B83C6BE9-A97F-460A-9B62-CA2A2CDB14B0}">
          <x14:formula1>
            <xm:f>'AR-Hierarchy '!$H$4:$H$20</xm:f>
          </x14:formula1>
          <xm:sqref>F27:F34 F5 F7:F16</xm:sqref>
        </x14:dataValidation>
        <x14:dataValidation type="list" allowBlank="1" showInputMessage="1" showErrorMessage="1" xr:uid="{3B26781B-D3FF-44BC-B8A5-3800DB262744}">
          <x14:formula1>
            <xm:f>'Inflation Adjustments'!$B$3:$BT$3</xm:f>
          </x14:formula1>
          <xm:sqref>AG19 AG25:AG26 AG28:AG34 AG5 AG7:AG11</xm:sqref>
        </x14:dataValidation>
        <x14:dataValidation type="list" allowBlank="1" showInputMessage="1" showErrorMessage="1" xr:uid="{C4CED5FF-BED8-4B47-9B87-52DCDC8CDA9B}">
          <x14:formula1>
            <xm:f>'Condition rating weights'!$C$29:$C$34</xm:f>
          </x14:formula1>
          <xm:sqref>AW25:BE25 AW23:AW24 AX23:BE23 AX24:AZ24 BF23:BF25 AW26:BF34 AU7:AV34 AU5:BF5 AW7:BF22</xm:sqref>
        </x14:dataValidation>
        <x14:dataValidation type="list" allowBlank="1" showInputMessage="1" showErrorMessage="1" xr:uid="{B359B57C-2795-4193-BF7F-C7EADA1831D3}">
          <x14:formula1>
            <xm:f>'AR-Hierarchy '!$J$86:$J$90</xm:f>
          </x14:formula1>
          <xm:sqref>S7:S34 S5</xm:sqref>
        </x14:dataValidation>
        <x14:dataValidation type="list" allowBlank="1" showInputMessage="1" showErrorMessage="1" xr:uid="{30CF40DF-83B7-4AD4-93AE-3FF78F9FBB11}">
          <x14:formula1>
            <xm:f>'AR-Hierarchy '!$J$72:$J$77</xm:f>
          </x14:formula1>
          <xm:sqref>Q7:Q34 Q5</xm:sqref>
        </x14:dataValidation>
        <x14:dataValidation type="list" allowBlank="1" showInputMessage="1" showErrorMessage="1" xr:uid="{BBADB24D-646A-495F-9191-6C46AACA2A93}">
          <x14:formula1>
            <xm:f>'AR-Hierarchy '!$J$54:$J$60</xm:f>
          </x14:formula1>
          <xm:sqref>O7:O34 O5</xm:sqref>
        </x14:dataValidation>
        <x14:dataValidation type="list" allowBlank="1" showInputMessage="1" showErrorMessage="1" xr:uid="{AFB5D78D-A03A-4107-B5C8-42BA1A393CCF}">
          <x14:formula1>
            <xm:f>'AR-Hierarchy '!$J$35:$J$41</xm:f>
          </x14:formula1>
          <xm:sqref>M7:M34 M5</xm:sqref>
        </x14:dataValidation>
        <x14:dataValidation type="list" allowBlank="1" showInputMessage="1" showErrorMessage="1" xr:uid="{22CA2C38-53BD-4BD6-9550-668FD8D47E50}">
          <x14:formula1>
            <xm:f>'AR-Hierarchy '!$J$24:$J$32</xm:f>
          </x14:formula1>
          <xm:sqref>L7:L34 L5</xm:sqref>
        </x14:dataValidation>
        <x14:dataValidation type="list" allowBlank="1" showInputMessage="1" showErrorMessage="1" xr:uid="{98E7D193-4ABA-41B5-BE85-A9E0A6D8FD1F}">
          <x14:formula1>
            <xm:f>'AR-Hierarchy '!$J$5:$J$12</xm:f>
          </x14:formula1>
          <xm:sqref>J7:J34 J5</xm:sqref>
        </x14:dataValidation>
        <x14:dataValidation type="list" allowBlank="1" showInputMessage="1" showErrorMessage="1" xr:uid="{DAB61B31-A800-4C0D-B90A-A6849FD6747D}">
          <x14:formula1>
            <xm:f>'AR-Hierarchy '!$K$4:$K$17</xm:f>
          </x14:formula1>
          <xm:sqref>T7:AC34 T5:AC5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C68D0-A2EA-474C-959A-779D43DC10C1}">
  <dimension ref="A1:FI50"/>
  <sheetViews>
    <sheetView topLeftCell="AS30" workbookViewId="0">
      <selection activeCell="AT53" sqref="AT53"/>
    </sheetView>
  </sheetViews>
  <sheetFormatPr defaultColWidth="8.81640625" defaultRowHeight="14" x14ac:dyDescent="0.3"/>
  <cols>
    <col min="1" max="71" width="35.6328125" style="91" customWidth="1"/>
    <col min="72" max="73" width="35.6328125" style="290" customWidth="1"/>
    <col min="74" max="75" width="8.81640625" style="91"/>
    <col min="76" max="76" width="8.81640625" style="91" customWidth="1"/>
    <col min="77" max="77" width="16.08984375" style="91" customWidth="1"/>
    <col min="78" max="85" width="8.81640625" style="91" customWidth="1"/>
    <col min="86" max="86" width="12.08984375" style="91" customWidth="1"/>
    <col min="87" max="87" width="10.90625" style="91" customWidth="1"/>
    <col min="88" max="88" width="11.81640625" style="91" customWidth="1"/>
    <col min="89" max="89" width="11" style="91" customWidth="1"/>
    <col min="90" max="90" width="11.453125" style="91" customWidth="1"/>
    <col min="91" max="91" width="12.54296875" style="91" customWidth="1"/>
    <col min="92" max="92" width="11.08984375" style="91" customWidth="1"/>
    <col min="93" max="93" width="10.90625" style="91" customWidth="1"/>
    <col min="94" max="94" width="10.453125" style="91" customWidth="1"/>
    <col min="95" max="95" width="11.08984375" style="91" customWidth="1"/>
    <col min="96" max="101" width="12.1796875" style="91" customWidth="1"/>
    <col min="102" max="102" width="11.90625" style="91" customWidth="1"/>
    <col min="103" max="103" width="10.6328125" style="91" customWidth="1"/>
    <col min="104" max="104" width="12.6328125" style="91" customWidth="1"/>
    <col min="105" max="105" width="10.81640625" style="91" customWidth="1"/>
    <col min="106" max="106" width="12.81640625" style="91" customWidth="1"/>
    <col min="107" max="107" width="12" style="91" customWidth="1"/>
    <col min="108" max="108" width="16.36328125" style="91" customWidth="1"/>
    <col min="109" max="109" width="11.1796875" style="91" customWidth="1"/>
    <col min="110" max="113" width="10.6328125" style="91" customWidth="1"/>
    <col min="114" max="114" width="10" style="91" customWidth="1"/>
    <col min="115" max="115" width="10.90625" style="91" customWidth="1"/>
    <col min="116" max="116" width="9.08984375" style="91" customWidth="1"/>
    <col min="117" max="117" width="10.81640625" style="91" customWidth="1"/>
    <col min="118" max="118" width="8.81640625" style="91" customWidth="1"/>
    <col min="119" max="119" width="11.36328125" style="91" customWidth="1"/>
    <col min="120" max="121" width="10.81640625" style="91" customWidth="1"/>
    <col min="122" max="122" width="14.1796875" style="91" customWidth="1"/>
    <col min="123" max="123" width="10.81640625" style="91" customWidth="1"/>
    <col min="124" max="124" width="8.81640625" style="91" customWidth="1"/>
    <col min="125" max="125" width="9.08984375" style="91" customWidth="1"/>
    <col min="126" max="128" width="8.81640625" style="91" customWidth="1"/>
    <col min="129" max="129" width="12.1796875" style="91" customWidth="1"/>
    <col min="130" max="130" width="11.36328125" style="91" customWidth="1"/>
    <col min="131" max="135" width="10.08984375" style="91" customWidth="1"/>
    <col min="136" max="136" width="12" style="91" customWidth="1"/>
    <col min="137" max="137" width="10.1796875" style="91" customWidth="1"/>
    <col min="138" max="138" width="13.36328125" style="91" customWidth="1"/>
    <col min="139" max="139" width="8.81640625" style="91" customWidth="1"/>
    <col min="140" max="151" width="11.08984375" style="91" customWidth="1"/>
    <col min="152" max="155" width="11.54296875" style="91" customWidth="1"/>
    <col min="156" max="156" width="11.81640625" style="91" customWidth="1"/>
    <col min="157" max="158" width="12.1796875" style="91" customWidth="1"/>
    <col min="159" max="159" width="8.81640625" style="91" customWidth="1"/>
    <col min="160" max="160" width="13.1796875" style="91" customWidth="1"/>
    <col min="161" max="161" width="11.1796875" style="91" customWidth="1"/>
    <col min="162" max="163" width="8.81640625" style="91"/>
    <col min="164" max="164" width="32.453125" style="91" customWidth="1"/>
    <col min="165" max="16384" width="8.81640625" style="91"/>
  </cols>
  <sheetData>
    <row r="1" spans="1:165" ht="29.5" customHeight="1" thickTop="1" x14ac:dyDescent="0.3">
      <c r="A1" s="653" t="s">
        <v>32</v>
      </c>
      <c r="B1" s="654"/>
      <c r="C1" s="288">
        <v>2023</v>
      </c>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row>
    <row r="2" spans="1:165" ht="42" customHeight="1" thickBot="1" x14ac:dyDescent="0.35">
      <c r="A2" s="584" t="s">
        <v>1419</v>
      </c>
      <c r="B2" s="585"/>
      <c r="C2" s="585"/>
      <c r="D2" s="585"/>
      <c r="E2" s="585"/>
      <c r="F2" s="585"/>
      <c r="G2" s="585"/>
      <c r="H2" s="585"/>
      <c r="I2" s="585"/>
      <c r="J2" s="624" t="s">
        <v>298</v>
      </c>
      <c r="K2" s="585"/>
      <c r="L2" s="585"/>
      <c r="M2" s="585"/>
      <c r="N2" s="585"/>
      <c r="O2" s="585"/>
      <c r="P2" s="585"/>
      <c r="Q2" s="585"/>
      <c r="R2" s="585"/>
      <c r="S2" s="585"/>
      <c r="T2" s="585"/>
      <c r="U2" s="585"/>
      <c r="V2" s="585"/>
      <c r="W2" s="585"/>
      <c r="X2" s="585"/>
      <c r="Y2" s="585"/>
      <c r="Z2" s="585"/>
      <c r="AA2" s="585"/>
      <c r="AB2" s="585"/>
      <c r="AC2" s="585"/>
      <c r="AD2" s="585"/>
      <c r="AE2" s="586"/>
      <c r="AF2" s="592" t="s">
        <v>267</v>
      </c>
      <c r="AG2" s="593"/>
      <c r="AH2" s="593"/>
      <c r="AI2" s="593"/>
      <c r="AJ2" s="593"/>
      <c r="AK2" s="593"/>
      <c r="AL2" s="593"/>
      <c r="AM2" s="593"/>
      <c r="AN2" s="593"/>
      <c r="AO2" s="593"/>
      <c r="AP2" s="593"/>
      <c r="AQ2" s="593"/>
      <c r="AR2" s="594"/>
      <c r="AS2" s="592" t="s">
        <v>268</v>
      </c>
      <c r="AT2" s="593"/>
      <c r="AU2" s="593"/>
      <c r="AV2" s="593"/>
      <c r="AW2" s="593"/>
      <c r="AX2" s="593"/>
      <c r="AY2" s="593"/>
      <c r="AZ2" s="593"/>
      <c r="BA2" s="593"/>
      <c r="BB2" s="593"/>
      <c r="BC2" s="593"/>
      <c r="BD2" s="593"/>
      <c r="BE2" s="593"/>
      <c r="BF2" s="593"/>
      <c r="BG2" s="593"/>
      <c r="BH2" s="597" t="s">
        <v>312</v>
      </c>
      <c r="BI2" s="598"/>
      <c r="BJ2" s="598"/>
      <c r="BK2" s="598"/>
      <c r="BL2" s="598"/>
      <c r="BM2" s="598"/>
      <c r="BN2" s="598"/>
      <c r="BO2" s="598"/>
      <c r="BP2" s="598"/>
      <c r="BQ2" s="598"/>
      <c r="BR2" s="598"/>
      <c r="BS2" s="598"/>
      <c r="BT2" s="599"/>
      <c r="BU2" s="390"/>
      <c r="DO2" s="589" t="s">
        <v>828</v>
      </c>
      <c r="DP2" s="589"/>
      <c r="DQ2" s="589"/>
      <c r="DR2" s="589"/>
      <c r="DS2" s="589"/>
      <c r="DT2" s="589"/>
      <c r="DU2" s="589"/>
      <c r="DV2" s="589"/>
      <c r="DW2" s="589"/>
      <c r="DX2" s="589"/>
      <c r="DY2" s="589"/>
      <c r="DZ2" s="589"/>
      <c r="EA2" s="589"/>
      <c r="EB2" s="589"/>
      <c r="EC2" s="589"/>
      <c r="ED2" s="589"/>
      <c r="EE2" s="589"/>
      <c r="EF2" s="589"/>
      <c r="EG2" s="589"/>
      <c r="EH2" s="589"/>
      <c r="EI2" s="589"/>
      <c r="EJ2" s="589"/>
      <c r="EK2" s="93"/>
      <c r="EL2" s="93"/>
      <c r="EM2" s="93"/>
      <c r="EN2" s="93"/>
      <c r="EO2" s="93"/>
      <c r="EP2" s="93"/>
      <c r="EQ2" s="93"/>
      <c r="ER2" s="93"/>
      <c r="ES2" s="93"/>
      <c r="ET2" s="93"/>
      <c r="EU2" s="93"/>
      <c r="EV2" s="590" t="s">
        <v>829</v>
      </c>
      <c r="EW2" s="590"/>
      <c r="EX2" s="590"/>
      <c r="EY2" s="590"/>
      <c r="EZ2" s="590"/>
      <c r="FA2" s="590"/>
      <c r="FB2" s="590"/>
    </row>
    <row r="3" spans="1:165" ht="42" customHeight="1" thickTop="1" x14ac:dyDescent="0.3">
      <c r="A3" s="293" t="s">
        <v>0</v>
      </c>
      <c r="B3" s="294" t="s">
        <v>34</v>
      </c>
      <c r="C3" s="294" t="s">
        <v>250</v>
      </c>
      <c r="D3" s="294" t="s">
        <v>251</v>
      </c>
      <c r="E3" s="294" t="s">
        <v>1</v>
      </c>
      <c r="F3" s="294" t="s">
        <v>2</v>
      </c>
      <c r="G3" s="294" t="s">
        <v>252</v>
      </c>
      <c r="H3" s="294" t="s">
        <v>30</v>
      </c>
      <c r="I3" s="294" t="s">
        <v>31</v>
      </c>
      <c r="J3" s="616" t="s">
        <v>253</v>
      </c>
      <c r="K3" s="625"/>
      <c r="L3" s="625"/>
      <c r="M3" s="625"/>
      <c r="N3" s="625"/>
      <c r="O3" s="625"/>
      <c r="P3" s="625"/>
      <c r="Q3" s="625"/>
      <c r="R3" s="625"/>
      <c r="S3" s="626"/>
      <c r="T3" s="616" t="s">
        <v>254</v>
      </c>
      <c r="U3" s="625"/>
      <c r="V3" s="625"/>
      <c r="W3" s="625"/>
      <c r="X3" s="625"/>
      <c r="Y3" s="625"/>
      <c r="Z3" s="625"/>
      <c r="AA3" s="625"/>
      <c r="AB3" s="625"/>
      <c r="AC3" s="626"/>
      <c r="AD3" s="391" t="s">
        <v>255</v>
      </c>
      <c r="AE3" s="392"/>
      <c r="AF3" s="294" t="s">
        <v>259</v>
      </c>
      <c r="AG3" s="393" t="s">
        <v>38</v>
      </c>
      <c r="AH3" s="394"/>
      <c r="AI3" s="393" t="s">
        <v>261</v>
      </c>
      <c r="AJ3" s="395"/>
      <c r="AK3" s="296"/>
      <c r="AL3" s="296"/>
      <c r="AM3" s="395" t="s">
        <v>262</v>
      </c>
      <c r="AN3" s="395"/>
      <c r="AO3" s="395" t="s">
        <v>263</v>
      </c>
      <c r="AP3" s="395" t="s">
        <v>326</v>
      </c>
      <c r="AQ3" s="394" t="s">
        <v>33</v>
      </c>
      <c r="AR3" s="396" t="s">
        <v>264</v>
      </c>
      <c r="AS3" s="609" t="s">
        <v>265</v>
      </c>
      <c r="AT3" s="609" t="s">
        <v>266</v>
      </c>
      <c r="AU3" s="603" t="s">
        <v>53</v>
      </c>
      <c r="AV3" s="591"/>
      <c r="AW3" s="591"/>
      <c r="AX3" s="591"/>
      <c r="AY3" s="591"/>
      <c r="AZ3" s="591"/>
      <c r="BA3" s="591"/>
      <c r="BB3" s="591"/>
      <c r="BC3" s="591"/>
      <c r="BD3" s="604"/>
      <c r="BE3" s="609" t="s">
        <v>1580</v>
      </c>
      <c r="BF3" s="609"/>
      <c r="BG3" s="295" t="s">
        <v>1442</v>
      </c>
      <c r="BH3" s="605" t="s">
        <v>299</v>
      </c>
      <c r="BI3" s="605" t="s">
        <v>300</v>
      </c>
      <c r="BJ3" s="605" t="s">
        <v>301</v>
      </c>
      <c r="BK3" s="605" t="s">
        <v>302</v>
      </c>
      <c r="BL3" s="605" t="s">
        <v>303</v>
      </c>
      <c r="BM3" s="605" t="s">
        <v>304</v>
      </c>
      <c r="BN3" s="605" t="s">
        <v>305</v>
      </c>
      <c r="BO3" s="605" t="s">
        <v>306</v>
      </c>
      <c r="BP3" s="605" t="s">
        <v>307</v>
      </c>
      <c r="BQ3" s="605" t="s">
        <v>308</v>
      </c>
      <c r="BR3" s="605" t="s">
        <v>309</v>
      </c>
      <c r="BS3" s="605" t="s">
        <v>310</v>
      </c>
      <c r="BT3" s="616" t="s">
        <v>311</v>
      </c>
      <c r="BU3" s="617" t="s">
        <v>1428</v>
      </c>
      <c r="BY3" s="144"/>
      <c r="BZ3" s="144"/>
      <c r="CA3" s="372" t="s">
        <v>809</v>
      </c>
      <c r="CB3" s="144"/>
      <c r="CC3" s="144"/>
      <c r="CD3" s="144"/>
      <c r="CE3" s="144"/>
      <c r="CF3" s="144"/>
      <c r="CG3" s="144"/>
      <c r="CH3" s="639" t="s">
        <v>816</v>
      </c>
      <c r="CI3" s="639"/>
      <c r="CJ3" s="639"/>
      <c r="CK3" s="639"/>
      <c r="CL3" s="639"/>
      <c r="CM3" s="639"/>
      <c r="CN3" s="639"/>
      <c r="CO3" s="639"/>
      <c r="CP3" s="639"/>
      <c r="CQ3" s="639"/>
      <c r="CR3" s="639"/>
      <c r="CS3" s="646" t="s">
        <v>262</v>
      </c>
      <c r="CT3" s="646"/>
      <c r="CU3" s="646"/>
      <c r="CV3" s="646"/>
      <c r="CW3" s="646"/>
      <c r="CX3" s="646"/>
      <c r="CY3" s="646"/>
      <c r="CZ3" s="646"/>
      <c r="DA3" s="646"/>
      <c r="DB3" s="646"/>
      <c r="DC3" s="646"/>
      <c r="DD3" s="371"/>
      <c r="DE3" s="639" t="s">
        <v>825</v>
      </c>
      <c r="DF3" s="639"/>
      <c r="DG3" s="639"/>
      <c r="DH3" s="639"/>
      <c r="DI3" s="639"/>
      <c r="DJ3" s="639"/>
      <c r="DK3" s="639"/>
      <c r="DL3" s="639"/>
      <c r="DM3" s="639"/>
      <c r="DN3" s="639"/>
      <c r="DO3" s="646" t="s">
        <v>827</v>
      </c>
      <c r="DP3" s="646"/>
      <c r="DQ3" s="646"/>
      <c r="DR3" s="646"/>
      <c r="DS3" s="646"/>
      <c r="DT3" s="646"/>
      <c r="DU3" s="646"/>
      <c r="DV3" s="646"/>
      <c r="DW3" s="646"/>
      <c r="DX3" s="646"/>
      <c r="DY3" s="646"/>
      <c r="DZ3" s="639" t="s">
        <v>826</v>
      </c>
      <c r="EA3" s="639"/>
      <c r="EB3" s="639"/>
      <c r="EC3" s="639"/>
      <c r="ED3" s="639"/>
      <c r="EE3" s="639"/>
      <c r="EF3" s="639"/>
      <c r="EG3" s="639"/>
      <c r="EH3" s="639"/>
      <c r="EI3" s="639"/>
      <c r="EJ3" s="639"/>
      <c r="EK3" s="646" t="s">
        <v>833</v>
      </c>
      <c r="EL3" s="646"/>
      <c r="EM3" s="646"/>
      <c r="EN3" s="646"/>
      <c r="EO3" s="646"/>
      <c r="EP3" s="646"/>
      <c r="EQ3" s="646"/>
      <c r="ER3" s="646"/>
      <c r="ES3" s="646"/>
      <c r="ET3" s="646"/>
      <c r="EU3" s="646"/>
      <c r="EV3" s="645" t="s">
        <v>1026</v>
      </c>
      <c r="EW3" s="645" t="s">
        <v>1022</v>
      </c>
      <c r="EX3" s="645" t="s">
        <v>1023</v>
      </c>
      <c r="EY3" s="645" t="s">
        <v>1027</v>
      </c>
      <c r="EZ3" s="645" t="s">
        <v>1024</v>
      </c>
      <c r="FA3" s="645" t="s">
        <v>1025</v>
      </c>
      <c r="FB3" s="645" t="s">
        <v>33</v>
      </c>
    </row>
    <row r="4" spans="1:165" ht="32" customHeight="1" x14ac:dyDescent="0.3">
      <c r="A4" s="397"/>
      <c r="B4" s="398"/>
      <c r="C4" s="399"/>
      <c r="D4" s="399"/>
      <c r="E4" s="399"/>
      <c r="F4" s="399"/>
      <c r="G4" s="399"/>
      <c r="H4" s="399"/>
      <c r="I4" s="399"/>
      <c r="J4" s="399" t="s">
        <v>105</v>
      </c>
      <c r="K4" s="399" t="s">
        <v>106</v>
      </c>
      <c r="L4" s="399" t="s">
        <v>107</v>
      </c>
      <c r="M4" s="399" t="s">
        <v>108</v>
      </c>
      <c r="N4" s="399" t="s">
        <v>109</v>
      </c>
      <c r="O4" s="399" t="s">
        <v>120</v>
      </c>
      <c r="P4" s="399" t="s">
        <v>111</v>
      </c>
      <c r="Q4" s="399" t="s">
        <v>112</v>
      </c>
      <c r="R4" s="399" t="s">
        <v>113</v>
      </c>
      <c r="S4" s="399" t="s">
        <v>110</v>
      </c>
      <c r="T4" s="399" t="s">
        <v>935</v>
      </c>
      <c r="U4" s="399" t="s">
        <v>936</v>
      </c>
      <c r="V4" s="399" t="s">
        <v>937</v>
      </c>
      <c r="W4" s="399" t="s">
        <v>938</v>
      </c>
      <c r="X4" s="399" t="s">
        <v>939</v>
      </c>
      <c r="Y4" s="399" t="s">
        <v>120</v>
      </c>
      <c r="Z4" s="399" t="s">
        <v>111</v>
      </c>
      <c r="AA4" s="399" t="s">
        <v>112</v>
      </c>
      <c r="AB4" s="399" t="s">
        <v>113</v>
      </c>
      <c r="AC4" s="399" t="s">
        <v>110</v>
      </c>
      <c r="AD4" s="399" t="s">
        <v>256</v>
      </c>
      <c r="AE4" s="399" t="s">
        <v>257</v>
      </c>
      <c r="AF4" s="399"/>
      <c r="AG4" s="399" t="s">
        <v>38</v>
      </c>
      <c r="AH4" s="399" t="s">
        <v>260</v>
      </c>
      <c r="AI4" s="399" t="s">
        <v>261</v>
      </c>
      <c r="AJ4" s="399" t="s">
        <v>260</v>
      </c>
      <c r="AK4" s="399" t="s">
        <v>715</v>
      </c>
      <c r="AL4" s="399" t="s">
        <v>716</v>
      </c>
      <c r="AM4" s="399" t="s">
        <v>262</v>
      </c>
      <c r="AN4" s="399" t="s">
        <v>260</v>
      </c>
      <c r="AO4" s="400"/>
      <c r="AP4" s="400"/>
      <c r="AQ4" s="401"/>
      <c r="AR4" s="402"/>
      <c r="AS4" s="651"/>
      <c r="AT4" s="651"/>
      <c r="AU4" s="399" t="s">
        <v>164</v>
      </c>
      <c r="AV4" s="399" t="s">
        <v>36</v>
      </c>
      <c r="AW4" s="399" t="s">
        <v>5</v>
      </c>
      <c r="AX4" s="399" t="s">
        <v>3</v>
      </c>
      <c r="AY4" s="399" t="s">
        <v>165</v>
      </c>
      <c r="AZ4" s="399" t="s">
        <v>166</v>
      </c>
      <c r="BA4" s="399" t="s">
        <v>1578</v>
      </c>
      <c r="BB4" s="399"/>
      <c r="BC4" s="399"/>
      <c r="BD4" s="399"/>
      <c r="BE4" s="651"/>
      <c r="BF4" s="651"/>
      <c r="BG4" s="403" t="s">
        <v>37</v>
      </c>
      <c r="BH4" s="650"/>
      <c r="BI4" s="650"/>
      <c r="BJ4" s="650"/>
      <c r="BK4" s="650"/>
      <c r="BL4" s="650"/>
      <c r="BM4" s="650"/>
      <c r="BN4" s="650"/>
      <c r="BO4" s="650"/>
      <c r="BP4" s="650"/>
      <c r="BQ4" s="650"/>
      <c r="BR4" s="650"/>
      <c r="BS4" s="650"/>
      <c r="BT4" s="652"/>
      <c r="BU4" s="627"/>
      <c r="BY4" s="373"/>
      <c r="BZ4" s="376" t="str">
        <f>'AR-Hierarchy '!K4</f>
        <v>Basic Design</v>
      </c>
      <c r="CA4" s="376" t="str">
        <f>'AR-Hierarchy '!K5</f>
        <v>Standard Design</v>
      </c>
      <c r="CB4" s="376" t="str">
        <f>'AR-Hierarchy '!K6</f>
        <v xml:space="preserve">Superior Design </v>
      </c>
      <c r="CC4" s="376" t="str">
        <f>'AR-Hierarchy '!K7</f>
        <v>None</v>
      </c>
      <c r="CD4" s="376" t="str">
        <f>BZ4</f>
        <v>Basic Design</v>
      </c>
      <c r="CE4" s="376" t="str">
        <f>CA4</f>
        <v>Standard Design</v>
      </c>
      <c r="CF4" s="376" t="str">
        <f>CB4</f>
        <v xml:space="preserve">Superior Design </v>
      </c>
      <c r="CG4" s="373" t="s">
        <v>117</v>
      </c>
      <c r="CH4" s="374" t="str">
        <f>BY5</f>
        <v>Substructure</v>
      </c>
      <c r="CI4" s="371" t="str">
        <f>BY6</f>
        <v>Structure</v>
      </c>
      <c r="CJ4" s="371" t="str">
        <f>BY7</f>
        <v>Roofing</v>
      </c>
      <c r="CK4" s="374" t="str">
        <f>BY8</f>
        <v>Exterior Wall Cladding</v>
      </c>
      <c r="CL4" s="371" t="str">
        <f>BY9</f>
        <v>Fitouts</v>
      </c>
      <c r="CM4" s="371" t="str">
        <f>BY10</f>
        <v>Floor Covering</v>
      </c>
      <c r="CN4" s="374" t="str">
        <f>BY11</f>
        <v>Service Mechanical</v>
      </c>
      <c r="CO4" s="374" t="str">
        <f>BY12</f>
        <v>Services Electrical</v>
      </c>
      <c r="CP4" s="374" t="str">
        <f>BY13</f>
        <v>Services Sanitation</v>
      </c>
      <c r="CQ4" s="374" t="str">
        <f>BY14</f>
        <v>Services Water</v>
      </c>
      <c r="CR4" s="374" t="s">
        <v>823</v>
      </c>
      <c r="CS4" s="376" t="str">
        <f>CH4</f>
        <v>Substructure</v>
      </c>
      <c r="CT4" s="376" t="str">
        <f t="shared" ref="CT4:DB4" si="0">CI4</f>
        <v>Structure</v>
      </c>
      <c r="CU4" s="376" t="str">
        <f t="shared" si="0"/>
        <v>Roofing</v>
      </c>
      <c r="CV4" s="376" t="str">
        <f t="shared" si="0"/>
        <v>Exterior Wall Cladding</v>
      </c>
      <c r="CW4" s="376" t="str">
        <f t="shared" si="0"/>
        <v>Fitouts</v>
      </c>
      <c r="CX4" s="376" t="str">
        <f t="shared" si="0"/>
        <v>Floor Covering</v>
      </c>
      <c r="CY4" s="376" t="str">
        <f t="shared" si="0"/>
        <v>Service Mechanical</v>
      </c>
      <c r="CZ4" s="376" t="str">
        <f t="shared" si="0"/>
        <v>Services Electrical</v>
      </c>
      <c r="DA4" s="376" t="str">
        <f t="shared" si="0"/>
        <v>Services Sanitation</v>
      </c>
      <c r="DB4" s="376" t="str">
        <f t="shared" si="0"/>
        <v>Services Water</v>
      </c>
      <c r="DC4" s="376" t="s">
        <v>824</v>
      </c>
      <c r="DD4" s="374" t="s">
        <v>1028</v>
      </c>
      <c r="DE4" s="374" t="str">
        <f>CS4</f>
        <v>Substructure</v>
      </c>
      <c r="DF4" s="374" t="str">
        <f t="shared" ref="DF4:DN4" si="1">CT4</f>
        <v>Structure</v>
      </c>
      <c r="DG4" s="374" t="str">
        <f t="shared" si="1"/>
        <v>Roofing</v>
      </c>
      <c r="DH4" s="374" t="str">
        <f t="shared" si="1"/>
        <v>Exterior Wall Cladding</v>
      </c>
      <c r="DI4" s="374" t="str">
        <f t="shared" si="1"/>
        <v>Fitouts</v>
      </c>
      <c r="DJ4" s="374" t="str">
        <f t="shared" si="1"/>
        <v>Floor Covering</v>
      </c>
      <c r="DK4" s="374" t="str">
        <f t="shared" si="1"/>
        <v>Service Mechanical</v>
      </c>
      <c r="DL4" s="374" t="str">
        <f t="shared" si="1"/>
        <v>Services Electrical</v>
      </c>
      <c r="DM4" s="374" t="str">
        <f t="shared" si="1"/>
        <v>Services Sanitation</v>
      </c>
      <c r="DN4" s="374" t="str">
        <f t="shared" si="1"/>
        <v>Services Water</v>
      </c>
      <c r="DO4" s="376" t="str">
        <f>DE4</f>
        <v>Substructure</v>
      </c>
      <c r="DP4" s="376" t="str">
        <f t="shared" ref="DP4:DX4" si="2">DF4</f>
        <v>Structure</v>
      </c>
      <c r="DQ4" s="376" t="str">
        <f t="shared" si="2"/>
        <v>Roofing</v>
      </c>
      <c r="DR4" s="376" t="str">
        <f>DH4</f>
        <v>Exterior Wall Cladding</v>
      </c>
      <c r="DS4" s="376" t="str">
        <f t="shared" si="2"/>
        <v>Fitouts</v>
      </c>
      <c r="DT4" s="376" t="str">
        <f t="shared" si="2"/>
        <v>Floor Covering</v>
      </c>
      <c r="DU4" s="376" t="str">
        <f t="shared" si="2"/>
        <v>Service Mechanical</v>
      </c>
      <c r="DV4" s="376" t="str">
        <f t="shared" si="2"/>
        <v>Services Electrical</v>
      </c>
      <c r="DW4" s="376" t="str">
        <f t="shared" si="2"/>
        <v>Services Sanitation</v>
      </c>
      <c r="DX4" s="376" t="str">
        <f t="shared" si="2"/>
        <v>Services Water</v>
      </c>
      <c r="DY4" s="376" t="s">
        <v>1021</v>
      </c>
      <c r="DZ4" s="374" t="str">
        <f>DO4</f>
        <v>Substructure</v>
      </c>
      <c r="EA4" s="374" t="str">
        <f t="shared" ref="EA4:EI4" si="3">DP4</f>
        <v>Structure</v>
      </c>
      <c r="EB4" s="374" t="str">
        <f t="shared" si="3"/>
        <v>Roofing</v>
      </c>
      <c r="EC4" s="374" t="str">
        <f t="shared" si="3"/>
        <v>Exterior Wall Cladding</v>
      </c>
      <c r="ED4" s="374" t="str">
        <f t="shared" si="3"/>
        <v>Fitouts</v>
      </c>
      <c r="EE4" s="374" t="str">
        <f t="shared" si="3"/>
        <v>Floor Covering</v>
      </c>
      <c r="EF4" s="374" t="str">
        <f t="shared" si="3"/>
        <v>Service Mechanical</v>
      </c>
      <c r="EG4" s="374" t="str">
        <f t="shared" si="3"/>
        <v>Services Electrical</v>
      </c>
      <c r="EH4" s="374" t="str">
        <f t="shared" si="3"/>
        <v>Services Sanitation</v>
      </c>
      <c r="EI4" s="374" t="str">
        <f t="shared" si="3"/>
        <v>Services Water</v>
      </c>
      <c r="EJ4" s="374" t="s">
        <v>1021</v>
      </c>
      <c r="EK4" s="376" t="str">
        <f>DZ4</f>
        <v>Substructure</v>
      </c>
      <c r="EL4" s="376" t="str">
        <f t="shared" ref="EL4:ET4" si="4">EA4</f>
        <v>Structure</v>
      </c>
      <c r="EM4" s="376" t="str">
        <f t="shared" si="4"/>
        <v>Roofing</v>
      </c>
      <c r="EN4" s="376" t="str">
        <f t="shared" si="4"/>
        <v>Exterior Wall Cladding</v>
      </c>
      <c r="EO4" s="376" t="str">
        <f t="shared" si="4"/>
        <v>Fitouts</v>
      </c>
      <c r="EP4" s="376" t="str">
        <f t="shared" si="4"/>
        <v>Floor Covering</v>
      </c>
      <c r="EQ4" s="376" t="str">
        <f t="shared" si="4"/>
        <v>Service Mechanical</v>
      </c>
      <c r="ER4" s="376" t="str">
        <f t="shared" si="4"/>
        <v>Services Electrical</v>
      </c>
      <c r="ES4" s="376" t="str">
        <f t="shared" si="4"/>
        <v>Services Sanitation</v>
      </c>
      <c r="ET4" s="376" t="str">
        <f t="shared" si="4"/>
        <v>Services Water</v>
      </c>
      <c r="EU4" s="376" t="s">
        <v>52</v>
      </c>
      <c r="EV4" s="645"/>
      <c r="EW4" s="645"/>
      <c r="EX4" s="645"/>
      <c r="EY4" s="645"/>
      <c r="EZ4" s="645"/>
      <c r="FA4" s="645"/>
      <c r="FB4" s="645"/>
    </row>
    <row r="5" spans="1:165" ht="35" customHeight="1" x14ac:dyDescent="0.3">
      <c r="A5" s="330" t="s">
        <v>1806</v>
      </c>
      <c r="B5" s="318" t="s">
        <v>941</v>
      </c>
      <c r="C5" s="318" t="s">
        <v>64</v>
      </c>
      <c r="D5" s="318" t="s">
        <v>79</v>
      </c>
      <c r="E5" s="318" t="s">
        <v>8</v>
      </c>
      <c r="F5" s="318" t="s">
        <v>278</v>
      </c>
      <c r="G5" s="318" t="s">
        <v>724</v>
      </c>
      <c r="H5" s="318" t="s">
        <v>976</v>
      </c>
      <c r="I5" s="318" t="s">
        <v>977</v>
      </c>
      <c r="J5" s="318" t="s">
        <v>1045</v>
      </c>
      <c r="K5" s="318" t="s">
        <v>1049</v>
      </c>
      <c r="L5" s="318" t="s">
        <v>1056</v>
      </c>
      <c r="M5" s="318" t="s">
        <v>1062</v>
      </c>
      <c r="N5" s="318" t="s">
        <v>1069</v>
      </c>
      <c r="O5" s="318" t="s">
        <v>1074</v>
      </c>
      <c r="P5" s="318" t="s">
        <v>1077</v>
      </c>
      <c r="Q5" s="318" t="s">
        <v>953</v>
      </c>
      <c r="R5" s="318" t="s">
        <v>1086</v>
      </c>
      <c r="S5" s="318" t="s">
        <v>1091</v>
      </c>
      <c r="T5" s="318" t="s">
        <v>104</v>
      </c>
      <c r="U5" s="318" t="s">
        <v>104</v>
      </c>
      <c r="V5" s="318" t="s">
        <v>1018</v>
      </c>
      <c r="W5" s="318" t="s">
        <v>104</v>
      </c>
      <c r="X5" s="318" t="s">
        <v>104</v>
      </c>
      <c r="Y5" s="318" t="s">
        <v>104</v>
      </c>
      <c r="Z5" s="318" t="s">
        <v>104</v>
      </c>
      <c r="AA5" s="318" t="s">
        <v>1018</v>
      </c>
      <c r="AB5" s="318" t="s">
        <v>104</v>
      </c>
      <c r="AC5" s="318" t="s">
        <v>1018</v>
      </c>
      <c r="AD5" s="318" t="s">
        <v>1771</v>
      </c>
      <c r="AE5" s="318">
        <v>2780</v>
      </c>
      <c r="AF5" s="318">
        <v>60</v>
      </c>
      <c r="AG5" s="318">
        <v>1992</v>
      </c>
      <c r="AH5" s="318" t="s">
        <v>982</v>
      </c>
      <c r="AI5" s="318">
        <f t="shared" ref="AI5:AJ7" si="5">AG5</f>
        <v>1992</v>
      </c>
      <c r="AJ5" s="318" t="str">
        <f t="shared" si="5"/>
        <v>Actual</v>
      </c>
      <c r="AK5" s="318"/>
      <c r="AL5" s="318"/>
      <c r="AM5" s="317">
        <f t="shared" ref="AM5:AM21" si="6">DC5+EW5</f>
        <v>2379143.7714872472</v>
      </c>
      <c r="AN5" s="318" t="s">
        <v>800</v>
      </c>
      <c r="AO5" s="511">
        <f t="shared" ref="AO5:AO21" si="7">EJ5+FA5</f>
        <v>1714806.2465860702</v>
      </c>
      <c r="AP5" s="511">
        <f>AM5-AO5</f>
        <v>664337.52490117704</v>
      </c>
      <c r="AQ5" s="511">
        <f t="shared" ref="AQ5:AQ21" si="8">EU5+FB5</f>
        <v>23263.805023615216</v>
      </c>
      <c r="AR5" s="511">
        <f>AP5-AQ5</f>
        <v>641073.71987756179</v>
      </c>
      <c r="AS5" s="511">
        <f>HLOOKUP($C$1,'Inflation Adjustments'!$BI$3:$BT$4,2)*CR5</f>
        <v>10291766.414999999</v>
      </c>
      <c r="AT5" s="511">
        <f>IF(BU5="In Service",'Maintenace Cost Assumptions'!$B$3*AS5,0)</f>
        <v>51458.832074999998</v>
      </c>
      <c r="AU5" s="318">
        <v>3</v>
      </c>
      <c r="AV5" s="318">
        <v>3</v>
      </c>
      <c r="AW5" s="318">
        <v>3</v>
      </c>
      <c r="AX5" s="318">
        <v>3</v>
      </c>
      <c r="AY5" s="318">
        <v>3</v>
      </c>
      <c r="AZ5" s="318">
        <v>3</v>
      </c>
      <c r="BA5" s="318">
        <v>2</v>
      </c>
      <c r="BB5" s="318"/>
      <c r="BC5" s="318"/>
      <c r="BD5" s="318"/>
      <c r="BE5" s="318">
        <v>2</v>
      </c>
      <c r="BF5" s="318"/>
      <c r="BG5" s="332">
        <f>(AU5*'Condition rating weights'!H$8+AV5*'Condition rating weights'!I$8+AW5*'Condition rating weights'!J$8+AX5*'Condition rating weights'!K$8+AY5*'Condition rating weights'!L$8+AZ5*'Condition rating weights'!M$8+BA5*'Condition rating weights'!N$8+BB5*'Condition rating weights'!O$8+BC5*'Condition rating weights'!P$8+BD5*'Condition rating weights'!Q$8+BE5*'Condition rating weights'!R$8+BF5*'Condition rating weights'!S$8)/100</f>
        <v>0.52</v>
      </c>
      <c r="BH5" s="333">
        <v>1</v>
      </c>
      <c r="BI5" s="333">
        <v>411</v>
      </c>
      <c r="BJ5" s="333" t="s">
        <v>12</v>
      </c>
      <c r="BK5" s="333" t="s">
        <v>959</v>
      </c>
      <c r="BL5" s="333" t="s">
        <v>974</v>
      </c>
      <c r="BM5" s="333" t="s">
        <v>961</v>
      </c>
      <c r="BN5" s="333" t="s">
        <v>117</v>
      </c>
      <c r="BO5" s="333" t="s">
        <v>962</v>
      </c>
      <c r="BP5" s="333" t="s">
        <v>962</v>
      </c>
      <c r="BQ5" s="333" t="s">
        <v>978</v>
      </c>
      <c r="BR5" s="333" t="s">
        <v>964</v>
      </c>
      <c r="BS5" s="333" t="s">
        <v>964</v>
      </c>
      <c r="BT5" s="334" t="s">
        <v>965</v>
      </c>
      <c r="BU5" s="335" t="s">
        <v>1430</v>
      </c>
      <c r="BV5" s="346"/>
      <c r="BY5" s="376" t="str">
        <f>'GRC and TUL Assumptions'!A5</f>
        <v>Substructure</v>
      </c>
      <c r="BZ5" s="373">
        <f>'GRC and TUL Assumptions'!C5</f>
        <v>150</v>
      </c>
      <c r="CA5" s="373">
        <f>'GRC and TUL Assumptions'!D5</f>
        <v>200</v>
      </c>
      <c r="CB5" s="373">
        <f>'GRC and TUL Assumptions'!E5</f>
        <v>300</v>
      </c>
      <c r="CC5" s="373">
        <v>0</v>
      </c>
      <c r="CD5" s="373">
        <f>'GRC and TUL Assumptions'!F5</f>
        <v>40</v>
      </c>
      <c r="CE5" s="373">
        <f>'GRC and TUL Assumptions'!G5</f>
        <v>60</v>
      </c>
      <c r="CF5" s="373">
        <f>'GRC and TUL Assumptions'!H5</f>
        <v>60</v>
      </c>
      <c r="CG5" s="373">
        <f>CD5</f>
        <v>40</v>
      </c>
      <c r="CH5" s="378">
        <f t="shared" ref="CH5:CH21" si="9">(HLOOKUP(T5,$BZ$4:$CC$14,2,TRUE))*$AE5</f>
        <v>556000</v>
      </c>
      <c r="CI5" s="378">
        <f t="shared" ref="CI5:CI21" si="10">(HLOOKUP(U5,$BZ$4:$CC$14,3,TRUE))*$AE5</f>
        <v>2224000</v>
      </c>
      <c r="CJ5" s="378">
        <f t="shared" ref="CJ5:CJ21" si="11">(HLOOKUP(V5,$BZ$4:$CC$14,4,TRUE))*$AE5/BH5</f>
        <v>834000</v>
      </c>
      <c r="CK5" s="378">
        <f t="shared" ref="CK5:CK21" si="12">(HLOOKUP(W5,$BZ$4:$CC$14,5,TRUE))*$AE5</f>
        <v>639400</v>
      </c>
      <c r="CL5" s="378">
        <f t="shared" ref="CL5:CL21" si="13">(HLOOKUP(X5,$BZ$4:$CC$14,6,TRUE))*$AE5</f>
        <v>973000</v>
      </c>
      <c r="CM5" s="378">
        <f t="shared" ref="CM5:CM21" si="14">(HLOOKUP(Y5,$BZ$4:$CC$14,7,TRUE))*$AE5</f>
        <v>417000</v>
      </c>
      <c r="CN5" s="378">
        <f t="shared" ref="CN5:CN21" si="15">(HLOOKUP(Z5,$BZ$4:$CC$14,8,FALSE))*$AE5</f>
        <v>278000</v>
      </c>
      <c r="CO5" s="378">
        <f t="shared" ref="CO5:CO21" si="16">(HLOOKUP(AA5,$BZ$4:$CC$14,9,FALSE))*$AE5</f>
        <v>417000</v>
      </c>
      <c r="CP5" s="378">
        <f t="shared" ref="CP5:CP21" si="17">(HLOOKUP(AB5,$BZ$4:$CC$14,10,FALSE))*$AE5</f>
        <v>361400</v>
      </c>
      <c r="CQ5" s="378">
        <f t="shared" ref="CQ5:CQ21" si="18">(HLOOKUP(AC5,$BZ$4:$CC$14,11,FALSE))*$AE5</f>
        <v>194600</v>
      </c>
      <c r="CR5" s="354">
        <f>SUM(CH5:CQ5)</f>
        <v>6894400</v>
      </c>
      <c r="CS5" s="379">
        <f>(HLOOKUP($AI5,'Inflation Adjustments'!$B$3:$BT$4,2,TRUE))*CH5</f>
        <v>191866.43318445538</v>
      </c>
      <c r="CT5" s="379">
        <f>(HLOOKUP($AI5,'Inflation Adjustments'!$B$3:$BT$4,2,TRUE))*CI5</f>
        <v>767465.73273782153</v>
      </c>
      <c r="CU5" s="379">
        <f>(HLOOKUP($AI5,'Inflation Adjustments'!$B$3:$BT$4,2,TRUE))*CJ5</f>
        <v>287799.64977668307</v>
      </c>
      <c r="CV5" s="379">
        <f>(HLOOKUP($AI5,'Inflation Adjustments'!$B$3:$BT$4,2,TRUE))*CK5</f>
        <v>220646.39816212369</v>
      </c>
      <c r="CW5" s="379">
        <f>(HLOOKUP($AI5,'Inflation Adjustments'!$B$3:$BT$4,2,TRUE))*CL5</f>
        <v>335766.25807279692</v>
      </c>
      <c r="CX5" s="379">
        <f>(HLOOKUP($AI5,'Inflation Adjustments'!$B$3:$BT$4,2,TRUE))*CM5</f>
        <v>143899.82488834154</v>
      </c>
      <c r="CY5" s="379">
        <f>(HLOOKUP($AI5,'Inflation Adjustments'!$B$3:$BT$4,2,TRUE))*CN5</f>
        <v>95933.216592227691</v>
      </c>
      <c r="CZ5" s="379">
        <f>(HLOOKUP($AI5,'Inflation Adjustments'!$B$3:$BT$4,2,TRUE))*CO5</f>
        <v>143899.82488834154</v>
      </c>
      <c r="DA5" s="379">
        <f>(HLOOKUP($AI5,'Inflation Adjustments'!$B$3:$BT$4,2,TRUE))*CP5</f>
        <v>124713.181569896</v>
      </c>
      <c r="DB5" s="379">
        <f>(HLOOKUP($AI5,'Inflation Adjustments'!$B$3:$BT$4,2,TRUE))*CQ5</f>
        <v>67153.251614559384</v>
      </c>
      <c r="DC5" s="379">
        <f t="shared" ref="DC5:DC21" si="19">SUM(CS5:DB5)</f>
        <v>2379143.7714872472</v>
      </c>
      <c r="DD5" s="354">
        <f t="shared" ref="DD5:DD21" si="20">IF(($C$1-AI5-1)&lt;0,0,$C$1-AI5-1)</f>
        <v>30</v>
      </c>
      <c r="DE5" s="378">
        <f t="shared" ref="DE5:DE21" si="21">(HLOOKUP(T5,$CD$4:$CG$14,2,FALSE))</f>
        <v>60</v>
      </c>
      <c r="DF5" s="378">
        <f t="shared" ref="DF5:DF21" si="22">(HLOOKUP(U5,$CD$4:$CG$14,3,FALSE))</f>
        <v>60</v>
      </c>
      <c r="DG5" s="378">
        <f t="shared" ref="DG5:DG21" si="23">(HLOOKUP(V5,$CD$4:$CG$14,4,FALSE))</f>
        <v>30</v>
      </c>
      <c r="DH5" s="378">
        <f t="shared" ref="DH5:DH21" si="24">(HLOOKUP(W5,$CD$4:$CG$14,5,FALSE))</f>
        <v>30</v>
      </c>
      <c r="DI5" s="378">
        <f t="shared" ref="DI5:DI21" si="25">(HLOOKUP(X5,$CD$4:$CG$14,6,FALSE))</f>
        <v>60</v>
      </c>
      <c r="DJ5" s="378">
        <f t="shared" ref="DJ5:DJ21" si="26">(HLOOKUP(Y5,$CD$4:$CG$14,7,FALSE))</f>
        <v>30</v>
      </c>
      <c r="DK5" s="378">
        <f t="shared" ref="DK5:DK21" si="27">(HLOOKUP(Z5,$CD$4:$CG$14,8,FALSE))</f>
        <v>20</v>
      </c>
      <c r="DL5" s="378">
        <f t="shared" ref="DL5:DL21" si="28">(HLOOKUP(AA5,$CD$4:$CG$14,8,FALSE))</f>
        <v>30</v>
      </c>
      <c r="DM5" s="378">
        <f t="shared" ref="DM5:DM21" si="29">(HLOOKUP(AB5,$CD$4:$CG$14,9))</f>
        <v>30</v>
      </c>
      <c r="DN5" s="378">
        <f t="shared" ref="DN5:DN21" si="30">(HLOOKUP(AC5,$CD$4:$CG$14,10))</f>
        <v>40</v>
      </c>
      <c r="DO5" s="380">
        <f t="shared" ref="DO5:DO14" si="31">CS5/DE5</f>
        <v>3197.7738864075895</v>
      </c>
      <c r="DP5" s="380">
        <f t="shared" ref="DP5:DP14" si="32">CT5/DF5</f>
        <v>12791.095545630358</v>
      </c>
      <c r="DQ5" s="380">
        <f t="shared" ref="DQ5:DQ14" si="33">CU5/DG5</f>
        <v>9593.3216592227691</v>
      </c>
      <c r="DR5" s="380">
        <f t="shared" ref="DR5:DR14" si="34">CV5/DH5</f>
        <v>7354.8799387374565</v>
      </c>
      <c r="DS5" s="380">
        <f t="shared" ref="DS5:DS14" si="35">CW5/DI5</f>
        <v>5596.1043012132823</v>
      </c>
      <c r="DT5" s="380">
        <f t="shared" ref="DT5:DT14" si="36">CX5/DJ5</f>
        <v>4796.6608296113845</v>
      </c>
      <c r="DU5" s="380">
        <f t="shared" ref="DU5:DU14" si="37">CY5/DK5</f>
        <v>4796.6608296113845</v>
      </c>
      <c r="DV5" s="380">
        <f t="shared" ref="DV5:DV14" si="38">CZ5/DL5</f>
        <v>4796.6608296113845</v>
      </c>
      <c r="DW5" s="380">
        <f t="shared" ref="DW5:DW14" si="39">DA5/DM5</f>
        <v>4157.1060523298665</v>
      </c>
      <c r="DX5" s="380">
        <f t="shared" ref="DX5:DX14" si="40">DB5/DN5</f>
        <v>1678.8312903639846</v>
      </c>
      <c r="DY5" s="380">
        <f>SUM(DO5:DX5)</f>
        <v>58759.095162739453</v>
      </c>
      <c r="DZ5" s="378">
        <f t="shared" ref="DZ5:DZ21" si="41">IF(DO5*$DD5&gt;CS5,CS5,DO5*$DD5)</f>
        <v>95933.216592227691</v>
      </c>
      <c r="EA5" s="378">
        <f t="shared" ref="EA5:EA21" si="42">IF(DP5*$DD5&gt;CT5,CT5,DP5*$DD5)</f>
        <v>383732.86636891076</v>
      </c>
      <c r="EB5" s="378">
        <f t="shared" ref="EB5:EB21" si="43">IF(DQ5*$DD5&gt;CU5,CU5,DQ5*$DD5)</f>
        <v>287799.64977668307</v>
      </c>
      <c r="EC5" s="378">
        <f t="shared" ref="EC5:EC21" si="44">IF(DR5*$DD5&gt;CV5,CV5,DR5*$DD5)</f>
        <v>220646.39816212369</v>
      </c>
      <c r="ED5" s="378">
        <f t="shared" ref="ED5:ED21" si="45">IF(DS5*$DD5&gt;CW5,CW5,DS5*$DD5)</f>
        <v>167883.12903639846</v>
      </c>
      <c r="EE5" s="378">
        <f t="shared" ref="EE5:EE21" si="46">IF(DT5*$DD5&gt;CX5,CX5,DT5*$DD5)</f>
        <v>143899.82488834154</v>
      </c>
      <c r="EF5" s="378">
        <f t="shared" ref="EF5:EF21" si="47">IF(DU5*$DD5&gt;CY5,CY5,DU5*$DD5)</f>
        <v>95933.216592227691</v>
      </c>
      <c r="EG5" s="378">
        <f t="shared" ref="EG5:EG21" si="48">IF(DV5*$DD5&gt;CZ5,CZ5,DV5*$DD5)</f>
        <v>143899.82488834154</v>
      </c>
      <c r="EH5" s="378">
        <f t="shared" ref="EH5:EH21" si="49">IF(DW5*$DD5&gt;DA5,DA5,DW5*$DD5)</f>
        <v>124713.181569896</v>
      </c>
      <c r="EI5" s="378">
        <f t="shared" ref="EI5:EI21" si="50">IF(DX5*$DD5&gt;DB5,DB5,DX5*$DD5)</f>
        <v>50364.938710919538</v>
      </c>
      <c r="EJ5" s="354">
        <f t="shared" ref="EJ5:EJ14" si="51">SUM(DZ5:EI5)</f>
        <v>1714806.2465860702</v>
      </c>
      <c r="EK5" s="380">
        <f t="shared" ref="EK5:EK14" si="52">IF(DO5&lt;(CS5-DZ5),DO5,(CS5-DZ5))</f>
        <v>3197.7738864075895</v>
      </c>
      <c r="EL5" s="380">
        <f t="shared" ref="EL5:EL14" si="53">IF(DP5&lt;(CT5-EA5),DP5,(CT5-EA5))</f>
        <v>12791.095545630358</v>
      </c>
      <c r="EM5" s="380">
        <f t="shared" ref="EM5:EM14" si="54">IF(DQ5&lt;(CU5-EB5),DQ5,(CU5-EB5))</f>
        <v>0</v>
      </c>
      <c r="EN5" s="380">
        <f t="shared" ref="EN5:EN14" si="55">IF(DR5&lt;(CV5-EC5),DR5,(CV5-EC5))</f>
        <v>0</v>
      </c>
      <c r="EO5" s="380">
        <f t="shared" ref="EO5:EO14" si="56">IF(DS5&lt;(CW5-ED5),DS5,(CW5-ED5))</f>
        <v>5596.1043012132823</v>
      </c>
      <c r="EP5" s="380">
        <f t="shared" ref="EP5:EP14" si="57">IF(DT5&lt;(CX5-EE5),DT5,(CX5-EE5))</f>
        <v>0</v>
      </c>
      <c r="EQ5" s="380">
        <f t="shared" ref="EQ5:EQ14" si="58">IF(DU5&lt;(CY5-EF5),DU5,(CY5-EF5))</f>
        <v>0</v>
      </c>
      <c r="ER5" s="380">
        <f t="shared" ref="ER5:ER14" si="59">IF(DV5&lt;(CZ5-EG5),DV5,(CZ5-EG5))</f>
        <v>0</v>
      </c>
      <c r="ES5" s="380">
        <f t="shared" ref="ES5:ES14" si="60">IF(DW5&lt;(DA5-EH5),DW5,(DA5-EH5))</f>
        <v>0</v>
      </c>
      <c r="ET5" s="380">
        <f t="shared" ref="ET5:ET14" si="61">IF(DX5&lt;(DB5-EI5),DX5,(DB5-EI5))</f>
        <v>1678.8312903639846</v>
      </c>
      <c r="EU5" s="379">
        <f t="shared" ref="EU5:EU14" si="62">SUM(EK5:ET5)</f>
        <v>23263.805023615216</v>
      </c>
      <c r="EV5" s="382"/>
      <c r="EW5" s="382"/>
      <c r="EX5" s="382"/>
      <c r="EY5" s="382"/>
      <c r="EZ5" s="382"/>
      <c r="FA5" s="382"/>
      <c r="FB5" s="382"/>
      <c r="FD5" s="630"/>
      <c r="FE5" s="630"/>
      <c r="FF5" s="630"/>
      <c r="FG5" s="630"/>
      <c r="FH5" s="630"/>
      <c r="FI5" s="337"/>
    </row>
    <row r="6" spans="1:165" ht="35" customHeight="1" x14ac:dyDescent="0.3">
      <c r="A6" s="330" t="s">
        <v>1807</v>
      </c>
      <c r="B6" s="318" t="s">
        <v>1378</v>
      </c>
      <c r="C6" s="318" t="s">
        <v>64</v>
      </c>
      <c r="D6" s="318" t="s">
        <v>88</v>
      </c>
      <c r="E6" s="318" t="s">
        <v>8</v>
      </c>
      <c r="F6" s="318" t="s">
        <v>945</v>
      </c>
      <c r="G6" s="318" t="s">
        <v>726</v>
      </c>
      <c r="H6" s="318" t="s">
        <v>986</v>
      </c>
      <c r="I6" s="318" t="s">
        <v>987</v>
      </c>
      <c r="J6" s="318" t="s">
        <v>1045</v>
      </c>
      <c r="K6" s="318" t="s">
        <v>1046</v>
      </c>
      <c r="L6" s="318" t="s">
        <v>1056</v>
      </c>
      <c r="M6" s="318" t="s">
        <v>1059</v>
      </c>
      <c r="N6" s="318" t="s">
        <v>1069</v>
      </c>
      <c r="O6" s="318" t="s">
        <v>1371</v>
      </c>
      <c r="P6" s="318" t="s">
        <v>1077</v>
      </c>
      <c r="Q6" s="318" t="s">
        <v>952</v>
      </c>
      <c r="R6" s="318" t="s">
        <v>1086</v>
      </c>
      <c r="S6" s="318" t="s">
        <v>1089</v>
      </c>
      <c r="T6" s="318" t="s">
        <v>104</v>
      </c>
      <c r="U6" s="318" t="s">
        <v>104</v>
      </c>
      <c r="V6" s="318" t="s">
        <v>1018</v>
      </c>
      <c r="W6" s="318" t="s">
        <v>1018</v>
      </c>
      <c r="X6" s="318" t="s">
        <v>1018</v>
      </c>
      <c r="Y6" s="318" t="s">
        <v>1018</v>
      </c>
      <c r="Z6" s="318" t="s">
        <v>1018</v>
      </c>
      <c r="AA6" s="318" t="s">
        <v>1018</v>
      </c>
      <c r="AB6" s="318" t="s">
        <v>1018</v>
      </c>
      <c r="AC6" s="318" t="s">
        <v>1018</v>
      </c>
      <c r="AD6" s="318" t="s">
        <v>1771</v>
      </c>
      <c r="AE6" s="318">
        <v>1360</v>
      </c>
      <c r="AF6" s="318">
        <v>60</v>
      </c>
      <c r="AG6" s="318">
        <v>2019</v>
      </c>
      <c r="AH6" s="318" t="s">
        <v>982</v>
      </c>
      <c r="AI6" s="318">
        <f t="shared" si="5"/>
        <v>2019</v>
      </c>
      <c r="AJ6" s="318" t="str">
        <f t="shared" si="5"/>
        <v>Actual</v>
      </c>
      <c r="AK6" s="318">
        <v>2019</v>
      </c>
      <c r="AL6" s="318" t="s">
        <v>1233</v>
      </c>
      <c r="AM6" s="317">
        <f t="shared" si="6"/>
        <v>3971200</v>
      </c>
      <c r="AN6" s="318" t="s">
        <v>800</v>
      </c>
      <c r="AO6" s="511">
        <f t="shared" si="7"/>
        <v>267240</v>
      </c>
      <c r="AP6" s="511">
        <f>AM6-AO6</f>
        <v>3703960</v>
      </c>
      <c r="AQ6" s="511">
        <f t="shared" si="8"/>
        <v>89080</v>
      </c>
      <c r="AR6" s="511">
        <f>AP6-AQ6</f>
        <v>3614880</v>
      </c>
      <c r="AS6" s="511">
        <f>HLOOKUP($C$1,'Inflation Adjustments'!$BI$3:$BT$4,2)*CR6</f>
        <v>5928095.669999999</v>
      </c>
      <c r="AT6" s="511">
        <f>IF(BU6="In Service",'Maintenace Cost Assumptions'!$B$3*AS6,0)</f>
        <v>29640.478349999994</v>
      </c>
      <c r="AU6" s="318">
        <v>4</v>
      </c>
      <c r="AV6" s="318">
        <v>4</v>
      </c>
      <c r="AW6" s="318">
        <v>3</v>
      </c>
      <c r="AX6" s="318">
        <v>3</v>
      </c>
      <c r="AY6" s="318">
        <v>3</v>
      </c>
      <c r="AZ6" s="318">
        <v>3</v>
      </c>
      <c r="BA6" s="318">
        <v>3</v>
      </c>
      <c r="BB6" s="318"/>
      <c r="BC6" s="318"/>
      <c r="BD6" s="318"/>
      <c r="BE6" s="318">
        <v>4</v>
      </c>
      <c r="BF6" s="318"/>
      <c r="BG6" s="332">
        <f>(AU6*'Condition rating weights'!H$8+AV6*'Condition rating weights'!I$8+AW6*'Condition rating weights'!J$8+AX6*'Condition rating weights'!K$8+AY6*'Condition rating weights'!L$8+AZ6*'Condition rating weights'!M$8+BA6*'Condition rating weights'!N$8+BB6*'Condition rating weights'!O$8+BC6*'Condition rating weights'!P$8+BD6*'Condition rating weights'!Q$8+BE6*'Condition rating weights'!R$8+BF6*'Condition rating weights'!S$8)/100</f>
        <v>0.74</v>
      </c>
      <c r="BH6" s="333">
        <v>1</v>
      </c>
      <c r="BI6" s="333">
        <v>221</v>
      </c>
      <c r="BJ6" s="333" t="s">
        <v>12</v>
      </c>
      <c r="BK6" s="333" t="s">
        <v>959</v>
      </c>
      <c r="BL6" s="333" t="s">
        <v>960</v>
      </c>
      <c r="BM6" s="333" t="s">
        <v>961</v>
      </c>
      <c r="BN6" s="333" t="s">
        <v>117</v>
      </c>
      <c r="BO6" s="333" t="s">
        <v>962</v>
      </c>
      <c r="BP6" s="333" t="s">
        <v>962</v>
      </c>
      <c r="BQ6" s="333" t="s">
        <v>963</v>
      </c>
      <c r="BR6" s="333" t="s">
        <v>964</v>
      </c>
      <c r="BS6" s="333" t="s">
        <v>964</v>
      </c>
      <c r="BT6" s="334" t="s">
        <v>965</v>
      </c>
      <c r="BU6" s="335" t="s">
        <v>1430</v>
      </c>
      <c r="BV6" s="255"/>
      <c r="BY6" s="376" t="str">
        <f>'GRC and TUL Assumptions'!A6</f>
        <v>Structure</v>
      </c>
      <c r="BZ6" s="373">
        <f>'GRC and TUL Assumptions'!C6</f>
        <v>500</v>
      </c>
      <c r="CA6" s="373">
        <f>'GRC and TUL Assumptions'!D6</f>
        <v>800</v>
      </c>
      <c r="CB6" s="373">
        <f>'GRC and TUL Assumptions'!E6</f>
        <v>1500</v>
      </c>
      <c r="CC6" s="373">
        <v>0</v>
      </c>
      <c r="CD6" s="373">
        <f>'GRC and TUL Assumptions'!F6</f>
        <v>40</v>
      </c>
      <c r="CE6" s="373">
        <f>'GRC and TUL Assumptions'!G6</f>
        <v>60</v>
      </c>
      <c r="CF6" s="373">
        <f>'GRC and TUL Assumptions'!H6</f>
        <v>60</v>
      </c>
      <c r="CG6" s="373">
        <f t="shared" ref="CG6:CG14" si="63">CD6</f>
        <v>40</v>
      </c>
      <c r="CH6" s="378">
        <f t="shared" si="9"/>
        <v>272000</v>
      </c>
      <c r="CI6" s="378">
        <f t="shared" si="10"/>
        <v>1088000</v>
      </c>
      <c r="CJ6" s="378">
        <f t="shared" si="11"/>
        <v>408000</v>
      </c>
      <c r="CK6" s="378">
        <f t="shared" si="12"/>
        <v>408000</v>
      </c>
      <c r="CL6" s="378">
        <f t="shared" si="13"/>
        <v>680000</v>
      </c>
      <c r="CM6" s="378">
        <f t="shared" si="14"/>
        <v>408000</v>
      </c>
      <c r="CN6" s="378">
        <f t="shared" si="15"/>
        <v>204000</v>
      </c>
      <c r="CO6" s="378">
        <f t="shared" si="16"/>
        <v>204000</v>
      </c>
      <c r="CP6" s="378">
        <f t="shared" si="17"/>
        <v>204000</v>
      </c>
      <c r="CQ6" s="378">
        <f t="shared" si="18"/>
        <v>95200</v>
      </c>
      <c r="CR6" s="354">
        <f>SUM(CH6:CQ6)</f>
        <v>3971200</v>
      </c>
      <c r="CS6" s="379">
        <f>(HLOOKUP($AI6,'Inflation Adjustments'!$B$3:$BT$4,2,TRUE))*CH6</f>
        <v>272000</v>
      </c>
      <c r="CT6" s="379">
        <f>(HLOOKUP($AI6,'Inflation Adjustments'!$B$3:$BT$4,2,TRUE))*CI6</f>
        <v>1088000</v>
      </c>
      <c r="CU6" s="379">
        <f>(HLOOKUP($AI6,'Inflation Adjustments'!$B$3:$BT$4,2,TRUE))*CJ6</f>
        <v>408000</v>
      </c>
      <c r="CV6" s="379">
        <f>(HLOOKUP($AI6,'Inflation Adjustments'!$B$3:$BT$4,2,TRUE))*CK6</f>
        <v>408000</v>
      </c>
      <c r="CW6" s="379">
        <f>(HLOOKUP($AI6,'Inflation Adjustments'!$B$3:$BT$4,2,TRUE))*CL6</f>
        <v>680000</v>
      </c>
      <c r="CX6" s="379">
        <f>(HLOOKUP($AI6,'Inflation Adjustments'!$B$3:$BT$4,2,TRUE))*CM6</f>
        <v>408000</v>
      </c>
      <c r="CY6" s="379">
        <f>(HLOOKUP($AI6,'Inflation Adjustments'!$B$3:$BT$4,2,TRUE))*CN6</f>
        <v>204000</v>
      </c>
      <c r="CZ6" s="379">
        <f>(HLOOKUP($AI6,'Inflation Adjustments'!$B$3:$BT$4,2,TRUE))*CO6</f>
        <v>204000</v>
      </c>
      <c r="DA6" s="379">
        <f>(HLOOKUP($AI6,'Inflation Adjustments'!$B$3:$BT$4,2,TRUE))*CP6</f>
        <v>204000</v>
      </c>
      <c r="DB6" s="379">
        <f>(HLOOKUP($AI6,'Inflation Adjustments'!$B$3:$BT$4,2,TRUE))*CQ6</f>
        <v>95200</v>
      </c>
      <c r="DC6" s="379">
        <f t="shared" si="19"/>
        <v>3971200</v>
      </c>
      <c r="DD6" s="354">
        <f t="shared" si="20"/>
        <v>3</v>
      </c>
      <c r="DE6" s="378">
        <f t="shared" si="21"/>
        <v>60</v>
      </c>
      <c r="DF6" s="378">
        <f t="shared" si="22"/>
        <v>60</v>
      </c>
      <c r="DG6" s="378">
        <f t="shared" si="23"/>
        <v>30</v>
      </c>
      <c r="DH6" s="378">
        <f t="shared" si="24"/>
        <v>40</v>
      </c>
      <c r="DI6" s="378">
        <f t="shared" si="25"/>
        <v>60</v>
      </c>
      <c r="DJ6" s="378">
        <f t="shared" si="26"/>
        <v>40</v>
      </c>
      <c r="DK6" s="378">
        <f t="shared" si="27"/>
        <v>30</v>
      </c>
      <c r="DL6" s="378">
        <f t="shared" si="28"/>
        <v>30</v>
      </c>
      <c r="DM6" s="378">
        <f t="shared" si="29"/>
        <v>40</v>
      </c>
      <c r="DN6" s="378">
        <f t="shared" si="30"/>
        <v>40</v>
      </c>
      <c r="DO6" s="380">
        <f t="shared" si="31"/>
        <v>4533.333333333333</v>
      </c>
      <c r="DP6" s="380">
        <f t="shared" si="32"/>
        <v>18133.333333333332</v>
      </c>
      <c r="DQ6" s="380">
        <f t="shared" si="33"/>
        <v>13600</v>
      </c>
      <c r="DR6" s="380">
        <f t="shared" si="34"/>
        <v>10200</v>
      </c>
      <c r="DS6" s="380">
        <f t="shared" si="35"/>
        <v>11333.333333333334</v>
      </c>
      <c r="DT6" s="380">
        <f t="shared" si="36"/>
        <v>10200</v>
      </c>
      <c r="DU6" s="380">
        <f t="shared" si="37"/>
        <v>6800</v>
      </c>
      <c r="DV6" s="380">
        <f t="shared" si="38"/>
        <v>6800</v>
      </c>
      <c r="DW6" s="380">
        <f t="shared" si="39"/>
        <v>5100</v>
      </c>
      <c r="DX6" s="380">
        <f t="shared" si="40"/>
        <v>2380</v>
      </c>
      <c r="DY6" s="380">
        <f>SUM(DO6:DX6)</f>
        <v>89080</v>
      </c>
      <c r="DZ6" s="378">
        <f t="shared" si="41"/>
        <v>13600</v>
      </c>
      <c r="EA6" s="378">
        <f t="shared" si="42"/>
        <v>54400</v>
      </c>
      <c r="EB6" s="378">
        <f t="shared" si="43"/>
        <v>40800</v>
      </c>
      <c r="EC6" s="378">
        <f t="shared" si="44"/>
        <v>30600</v>
      </c>
      <c r="ED6" s="378">
        <f t="shared" si="45"/>
        <v>34000</v>
      </c>
      <c r="EE6" s="378">
        <f t="shared" si="46"/>
        <v>30600</v>
      </c>
      <c r="EF6" s="378">
        <f t="shared" si="47"/>
        <v>20400</v>
      </c>
      <c r="EG6" s="378">
        <f t="shared" si="48"/>
        <v>20400</v>
      </c>
      <c r="EH6" s="378">
        <f t="shared" si="49"/>
        <v>15300</v>
      </c>
      <c r="EI6" s="378">
        <f t="shared" si="50"/>
        <v>7140</v>
      </c>
      <c r="EJ6" s="354">
        <f t="shared" si="51"/>
        <v>267240</v>
      </c>
      <c r="EK6" s="380">
        <f t="shared" si="52"/>
        <v>4533.333333333333</v>
      </c>
      <c r="EL6" s="380">
        <f t="shared" si="53"/>
        <v>18133.333333333332</v>
      </c>
      <c r="EM6" s="380">
        <f t="shared" si="54"/>
        <v>13600</v>
      </c>
      <c r="EN6" s="380">
        <f t="shared" si="55"/>
        <v>10200</v>
      </c>
      <c r="EO6" s="380">
        <f t="shared" si="56"/>
        <v>11333.333333333334</v>
      </c>
      <c r="EP6" s="380">
        <f t="shared" si="57"/>
        <v>10200</v>
      </c>
      <c r="EQ6" s="380">
        <f t="shared" si="58"/>
        <v>6800</v>
      </c>
      <c r="ER6" s="380">
        <f t="shared" si="59"/>
        <v>6800</v>
      </c>
      <c r="ES6" s="380">
        <f t="shared" si="60"/>
        <v>5100</v>
      </c>
      <c r="ET6" s="380">
        <f t="shared" si="61"/>
        <v>2380</v>
      </c>
      <c r="EU6" s="379">
        <f t="shared" si="62"/>
        <v>89080</v>
      </c>
      <c r="EV6" s="382"/>
      <c r="EW6" s="382"/>
      <c r="EX6" s="382"/>
      <c r="EY6" s="382"/>
      <c r="EZ6" s="382"/>
      <c r="FA6" s="382"/>
      <c r="FB6" s="382"/>
      <c r="FD6" s="583"/>
      <c r="FE6" s="583"/>
      <c r="FF6" s="583"/>
      <c r="FG6" s="583"/>
      <c r="FH6" s="583"/>
      <c r="FI6" s="359"/>
    </row>
    <row r="7" spans="1:165" ht="35" customHeight="1" x14ac:dyDescent="0.3">
      <c r="A7" s="330" t="s">
        <v>1808</v>
      </c>
      <c r="B7" s="318" t="s">
        <v>87</v>
      </c>
      <c r="C7" s="318" t="s">
        <v>86</v>
      </c>
      <c r="D7" s="318" t="s">
        <v>87</v>
      </c>
      <c r="E7" s="318" t="s">
        <v>8</v>
      </c>
      <c r="F7" s="318" t="s">
        <v>945</v>
      </c>
      <c r="G7" s="318" t="s">
        <v>724</v>
      </c>
      <c r="H7" s="318" t="s">
        <v>1105</v>
      </c>
      <c r="I7" s="318" t="s">
        <v>1106</v>
      </c>
      <c r="J7" s="318" t="s">
        <v>1045</v>
      </c>
      <c r="K7" s="318" t="s">
        <v>1046</v>
      </c>
      <c r="L7" s="318" t="s">
        <v>1056</v>
      </c>
      <c r="M7" s="318" t="s">
        <v>1059</v>
      </c>
      <c r="N7" s="318" t="s">
        <v>1069</v>
      </c>
      <c r="O7" s="318" t="s">
        <v>1371</v>
      </c>
      <c r="P7" s="318" t="s">
        <v>1077</v>
      </c>
      <c r="Q7" s="318" t="s">
        <v>1082</v>
      </c>
      <c r="R7" s="318" t="s">
        <v>1086</v>
      </c>
      <c r="S7" s="318" t="s">
        <v>1091</v>
      </c>
      <c r="T7" s="318" t="s">
        <v>104</v>
      </c>
      <c r="U7" s="318" t="s">
        <v>104</v>
      </c>
      <c r="V7" s="318" t="s">
        <v>104</v>
      </c>
      <c r="W7" s="318" t="s">
        <v>104</v>
      </c>
      <c r="X7" s="318" t="s">
        <v>104</v>
      </c>
      <c r="Y7" s="318" t="s">
        <v>104</v>
      </c>
      <c r="Z7" s="318" t="s">
        <v>104</v>
      </c>
      <c r="AA7" s="318" t="s">
        <v>104</v>
      </c>
      <c r="AB7" s="318" t="s">
        <v>104</v>
      </c>
      <c r="AC7" s="318" t="s">
        <v>104</v>
      </c>
      <c r="AD7" s="318" t="s">
        <v>1771</v>
      </c>
      <c r="AE7" s="318">
        <v>1350</v>
      </c>
      <c r="AF7" s="318">
        <v>60</v>
      </c>
      <c r="AG7" s="318">
        <v>1980</v>
      </c>
      <c r="AH7" s="318" t="s">
        <v>800</v>
      </c>
      <c r="AI7" s="318">
        <f t="shared" si="5"/>
        <v>1980</v>
      </c>
      <c r="AJ7" s="318" t="str">
        <f t="shared" si="5"/>
        <v>Estimated</v>
      </c>
      <c r="AK7" s="318">
        <v>2005</v>
      </c>
      <c r="AL7" s="318" t="s">
        <v>958</v>
      </c>
      <c r="AM7" s="317">
        <f t="shared" si="6"/>
        <v>632873.87540693406</v>
      </c>
      <c r="AN7" s="318" t="s">
        <v>800</v>
      </c>
      <c r="AO7" s="511">
        <f t="shared" si="7"/>
        <v>515028.39515874616</v>
      </c>
      <c r="AP7" s="511">
        <f>AM7-AO7</f>
        <v>117845.4802481879</v>
      </c>
      <c r="AQ7" s="511">
        <f t="shared" si="8"/>
        <v>6546.9711248993171</v>
      </c>
      <c r="AR7" s="511">
        <f>AP7-AQ7</f>
        <v>111298.50912328859</v>
      </c>
      <c r="AS7" s="511">
        <f>HLOOKUP($C$1,'Inflation Adjustments'!$BI$3:$BT$4,2)*CR7</f>
        <v>4383151.41796875</v>
      </c>
      <c r="AT7" s="511">
        <f>IF(BU7="In Service",'Maintenace Cost Assumptions'!$B$3*AS7,0)</f>
        <v>21915.757089843752</v>
      </c>
      <c r="AU7" s="318">
        <v>4</v>
      </c>
      <c r="AV7" s="318">
        <v>4</v>
      </c>
      <c r="AW7" s="318">
        <v>4</v>
      </c>
      <c r="AX7" s="318">
        <v>4</v>
      </c>
      <c r="AY7" s="318">
        <v>3</v>
      </c>
      <c r="AZ7" s="318">
        <v>3</v>
      </c>
      <c r="BA7" s="318">
        <v>3</v>
      </c>
      <c r="BB7" s="318"/>
      <c r="BC7" s="318"/>
      <c r="BD7" s="318"/>
      <c r="BE7" s="318">
        <v>3</v>
      </c>
      <c r="BF7" s="318"/>
      <c r="BG7" s="332">
        <f>(AU7*'Condition rating weights'!H$8+AV7*'Condition rating weights'!I$8+AW7*'Condition rating weights'!J$8+AX7*'Condition rating weights'!K$8+AY7*'Condition rating weights'!L$8+AZ7*'Condition rating weights'!M$8+BA7*'Condition rating weights'!N$8+BB7*'Condition rating weights'!O$8+BC7*'Condition rating weights'!P$8+BD7*'Condition rating weights'!Q$8+BE7*'Condition rating weights'!R$8+BF7*'Condition rating weights'!S$8)/100</f>
        <v>0.7</v>
      </c>
      <c r="BH7" s="333">
        <v>2</v>
      </c>
      <c r="BI7" s="333">
        <v>221</v>
      </c>
      <c r="BJ7" s="333" t="s">
        <v>12</v>
      </c>
      <c r="BK7" s="333" t="s">
        <v>959</v>
      </c>
      <c r="BL7" s="333" t="s">
        <v>974</v>
      </c>
      <c r="BM7" s="333" t="s">
        <v>184</v>
      </c>
      <c r="BN7" s="333" t="s">
        <v>117</v>
      </c>
      <c r="BO7" s="333" t="s">
        <v>962</v>
      </c>
      <c r="BP7" s="333" t="s">
        <v>962</v>
      </c>
      <c r="BQ7" s="333" t="s">
        <v>963</v>
      </c>
      <c r="BR7" s="333" t="s">
        <v>964</v>
      </c>
      <c r="BS7" s="333" t="s">
        <v>964</v>
      </c>
      <c r="BT7" s="334" t="s">
        <v>965</v>
      </c>
      <c r="BU7" s="335" t="s">
        <v>1430</v>
      </c>
      <c r="BV7" s="255"/>
      <c r="BY7" s="376" t="str">
        <f>'GRC and TUL Assumptions'!A7</f>
        <v>Roofing</v>
      </c>
      <c r="BZ7" s="373">
        <f>'GRC and TUL Assumptions'!C7</f>
        <v>100</v>
      </c>
      <c r="CA7" s="373">
        <f>'GRC and TUL Assumptions'!D7</f>
        <v>150</v>
      </c>
      <c r="CB7" s="373">
        <f>'GRC and TUL Assumptions'!E7</f>
        <v>300</v>
      </c>
      <c r="CC7" s="373">
        <v>0</v>
      </c>
      <c r="CD7" s="373">
        <f>'GRC and TUL Assumptions'!F7</f>
        <v>10</v>
      </c>
      <c r="CE7" s="373">
        <f>'GRC and TUL Assumptions'!G7</f>
        <v>20</v>
      </c>
      <c r="CF7" s="373">
        <f>'GRC and TUL Assumptions'!H7</f>
        <v>30</v>
      </c>
      <c r="CG7" s="373">
        <f t="shared" si="63"/>
        <v>10</v>
      </c>
      <c r="CH7" s="378">
        <f t="shared" si="9"/>
        <v>270000</v>
      </c>
      <c r="CI7" s="378">
        <f t="shared" si="10"/>
        <v>1080000</v>
      </c>
      <c r="CJ7" s="378">
        <f t="shared" si="11"/>
        <v>101250</v>
      </c>
      <c r="CK7" s="378">
        <f t="shared" si="12"/>
        <v>310500</v>
      </c>
      <c r="CL7" s="378">
        <f t="shared" si="13"/>
        <v>472500</v>
      </c>
      <c r="CM7" s="378">
        <f t="shared" si="14"/>
        <v>202500</v>
      </c>
      <c r="CN7" s="378">
        <f t="shared" si="15"/>
        <v>135000</v>
      </c>
      <c r="CO7" s="378">
        <f t="shared" si="16"/>
        <v>135000</v>
      </c>
      <c r="CP7" s="378">
        <f t="shared" si="17"/>
        <v>175500</v>
      </c>
      <c r="CQ7" s="378">
        <f t="shared" si="18"/>
        <v>54000</v>
      </c>
      <c r="CR7" s="354">
        <f t="shared" ref="CR7:CR8" si="64">SUM(CH7:CQ7)</f>
        <v>2936250</v>
      </c>
      <c r="CS7" s="379">
        <f>(HLOOKUP($AI7,'Inflation Adjustments'!$B$3:$BT$4,2,TRUE))*CH7</f>
        <v>58195.298887993929</v>
      </c>
      <c r="CT7" s="379">
        <f>(HLOOKUP($AI7,'Inflation Adjustments'!$B$3:$BT$4,2,TRUE))*CI7</f>
        <v>232781.19555197572</v>
      </c>
      <c r="CU7" s="379">
        <f>(HLOOKUP($AI7,'Inflation Adjustments'!$B$3:$BT$4,2,TRUE))*CJ7</f>
        <v>21823.237082997723</v>
      </c>
      <c r="CV7" s="379">
        <f>(HLOOKUP($AI7,'Inflation Adjustments'!$B$3:$BT$4,2,TRUE))*CK7</f>
        <v>66924.593721193014</v>
      </c>
      <c r="CW7" s="379">
        <f>(HLOOKUP($AI7,'Inflation Adjustments'!$B$3:$BT$4,2,TRUE))*CL7</f>
        <v>101841.77305398937</v>
      </c>
      <c r="CX7" s="379">
        <f>(HLOOKUP($AI7,'Inflation Adjustments'!$B$3:$BT$4,2,TRUE))*CM7</f>
        <v>43646.474165995445</v>
      </c>
      <c r="CY7" s="379">
        <f>(HLOOKUP($AI7,'Inflation Adjustments'!$B$3:$BT$4,2,TRUE))*CN7</f>
        <v>29097.649443996965</v>
      </c>
      <c r="CZ7" s="379">
        <f>(HLOOKUP($AI7,'Inflation Adjustments'!$B$3:$BT$4,2,TRUE))*CO7</f>
        <v>29097.649443996965</v>
      </c>
      <c r="DA7" s="379">
        <f>(HLOOKUP($AI7,'Inflation Adjustments'!$B$3:$BT$4,2,TRUE))*CP7</f>
        <v>37826.944277196053</v>
      </c>
      <c r="DB7" s="379">
        <f>(HLOOKUP($AI7,'Inflation Adjustments'!$B$3:$BT$4,2,TRUE))*CQ7</f>
        <v>11639.059777598786</v>
      </c>
      <c r="DC7" s="379">
        <f t="shared" si="19"/>
        <v>632873.87540693406</v>
      </c>
      <c r="DD7" s="354">
        <f t="shared" si="20"/>
        <v>42</v>
      </c>
      <c r="DE7" s="378">
        <f t="shared" si="21"/>
        <v>60</v>
      </c>
      <c r="DF7" s="378">
        <f t="shared" si="22"/>
        <v>60</v>
      </c>
      <c r="DG7" s="378">
        <f t="shared" si="23"/>
        <v>20</v>
      </c>
      <c r="DH7" s="378">
        <f t="shared" si="24"/>
        <v>30</v>
      </c>
      <c r="DI7" s="378">
        <f t="shared" si="25"/>
        <v>60</v>
      </c>
      <c r="DJ7" s="378">
        <f t="shared" si="26"/>
        <v>30</v>
      </c>
      <c r="DK7" s="378">
        <f t="shared" si="27"/>
        <v>20</v>
      </c>
      <c r="DL7" s="378">
        <f t="shared" si="28"/>
        <v>20</v>
      </c>
      <c r="DM7" s="378">
        <f t="shared" si="29"/>
        <v>30</v>
      </c>
      <c r="DN7" s="378">
        <f t="shared" si="30"/>
        <v>30</v>
      </c>
      <c r="DO7" s="380">
        <f t="shared" si="31"/>
        <v>969.92164813323211</v>
      </c>
      <c r="DP7" s="380">
        <f t="shared" si="32"/>
        <v>3879.6865925329284</v>
      </c>
      <c r="DQ7" s="380">
        <f t="shared" si="33"/>
        <v>1091.161854149886</v>
      </c>
      <c r="DR7" s="380">
        <f t="shared" si="34"/>
        <v>2230.8197907064337</v>
      </c>
      <c r="DS7" s="380">
        <f t="shared" si="35"/>
        <v>1697.3628842331561</v>
      </c>
      <c r="DT7" s="380">
        <f t="shared" si="36"/>
        <v>1454.8824721998483</v>
      </c>
      <c r="DU7" s="380">
        <f t="shared" si="37"/>
        <v>1454.8824721998483</v>
      </c>
      <c r="DV7" s="380">
        <f t="shared" si="38"/>
        <v>1454.8824721998483</v>
      </c>
      <c r="DW7" s="380">
        <f t="shared" si="39"/>
        <v>1260.8981425732018</v>
      </c>
      <c r="DX7" s="380">
        <f t="shared" si="40"/>
        <v>387.96865925329286</v>
      </c>
      <c r="DY7" s="380">
        <f t="shared" ref="DY7:DY8" si="65">SUM(DO7:DX7)</f>
        <v>15882.466988181675</v>
      </c>
      <c r="DZ7" s="378">
        <f t="shared" si="41"/>
        <v>40736.709221595745</v>
      </c>
      <c r="EA7" s="378">
        <f t="shared" si="42"/>
        <v>162946.83688638298</v>
      </c>
      <c r="EB7" s="378">
        <f t="shared" si="43"/>
        <v>21823.237082997723</v>
      </c>
      <c r="EC7" s="378">
        <f t="shared" si="44"/>
        <v>66924.593721193014</v>
      </c>
      <c r="ED7" s="378">
        <f t="shared" si="45"/>
        <v>71289.24113779256</v>
      </c>
      <c r="EE7" s="378">
        <f t="shared" si="46"/>
        <v>43646.474165995445</v>
      </c>
      <c r="EF7" s="378">
        <f t="shared" si="47"/>
        <v>29097.649443996965</v>
      </c>
      <c r="EG7" s="378">
        <f t="shared" si="48"/>
        <v>29097.649443996965</v>
      </c>
      <c r="EH7" s="378">
        <f t="shared" si="49"/>
        <v>37826.944277196053</v>
      </c>
      <c r="EI7" s="378">
        <f t="shared" si="50"/>
        <v>11639.059777598786</v>
      </c>
      <c r="EJ7" s="354">
        <f t="shared" si="51"/>
        <v>515028.39515874616</v>
      </c>
      <c r="EK7" s="380">
        <f t="shared" si="52"/>
        <v>969.92164813323211</v>
      </c>
      <c r="EL7" s="380">
        <f t="shared" si="53"/>
        <v>3879.6865925329284</v>
      </c>
      <c r="EM7" s="380">
        <f t="shared" si="54"/>
        <v>0</v>
      </c>
      <c r="EN7" s="380">
        <f t="shared" si="55"/>
        <v>0</v>
      </c>
      <c r="EO7" s="380">
        <f t="shared" si="56"/>
        <v>1697.3628842331561</v>
      </c>
      <c r="EP7" s="380">
        <f t="shared" si="57"/>
        <v>0</v>
      </c>
      <c r="EQ7" s="380">
        <f t="shared" si="58"/>
        <v>0</v>
      </c>
      <c r="ER7" s="380">
        <f t="shared" si="59"/>
        <v>0</v>
      </c>
      <c r="ES7" s="380">
        <f t="shared" si="60"/>
        <v>0</v>
      </c>
      <c r="ET7" s="380">
        <f t="shared" si="61"/>
        <v>0</v>
      </c>
      <c r="EU7" s="379">
        <f t="shared" si="62"/>
        <v>6546.9711248993171</v>
      </c>
      <c r="EV7" s="382"/>
      <c r="EW7" s="382"/>
      <c r="EX7" s="382"/>
      <c r="EY7" s="382"/>
      <c r="EZ7" s="382"/>
      <c r="FA7" s="382"/>
      <c r="FB7" s="382"/>
    </row>
    <row r="8" spans="1:165" ht="35" customHeight="1" x14ac:dyDescent="0.3">
      <c r="A8" s="330" t="s">
        <v>1809</v>
      </c>
      <c r="B8" s="318" t="s">
        <v>1104</v>
      </c>
      <c r="C8" s="318" t="s">
        <v>86</v>
      </c>
      <c r="D8" s="318" t="s">
        <v>90</v>
      </c>
      <c r="E8" s="318" t="s">
        <v>8</v>
      </c>
      <c r="F8" s="318" t="s">
        <v>278</v>
      </c>
      <c r="G8" s="318" t="s">
        <v>724</v>
      </c>
      <c r="H8" s="318" t="s">
        <v>980</v>
      </c>
      <c r="I8" s="318" t="s">
        <v>981</v>
      </c>
      <c r="J8" s="318" t="s">
        <v>1045</v>
      </c>
      <c r="K8" s="318" t="s">
        <v>1049</v>
      </c>
      <c r="L8" s="318" t="s">
        <v>1056</v>
      </c>
      <c r="M8" s="318" t="s">
        <v>1062</v>
      </c>
      <c r="N8" s="318" t="s">
        <v>571</v>
      </c>
      <c r="O8" s="318" t="s">
        <v>1073</v>
      </c>
      <c r="P8" s="318" t="s">
        <v>117</v>
      </c>
      <c r="Q8" s="318" t="s">
        <v>1082</v>
      </c>
      <c r="R8" s="318" t="s">
        <v>1086</v>
      </c>
      <c r="S8" s="318" t="s">
        <v>1089</v>
      </c>
      <c r="T8" s="318" t="s">
        <v>104</v>
      </c>
      <c r="U8" s="318" t="s">
        <v>104</v>
      </c>
      <c r="V8" s="318" t="s">
        <v>1018</v>
      </c>
      <c r="W8" s="318" t="s">
        <v>1018</v>
      </c>
      <c r="X8" s="318" t="s">
        <v>104</v>
      </c>
      <c r="Y8" s="318" t="s">
        <v>117</v>
      </c>
      <c r="Z8" s="318" t="s">
        <v>117</v>
      </c>
      <c r="AA8" s="318" t="s">
        <v>104</v>
      </c>
      <c r="AB8" s="318" t="s">
        <v>104</v>
      </c>
      <c r="AC8" s="318" t="s">
        <v>104</v>
      </c>
      <c r="AD8" s="318" t="s">
        <v>1771</v>
      </c>
      <c r="AE8" s="318">
        <f>56*52</f>
        <v>2912</v>
      </c>
      <c r="AF8" s="318">
        <v>60</v>
      </c>
      <c r="AG8" s="318">
        <v>2018</v>
      </c>
      <c r="AH8" s="318" t="s">
        <v>982</v>
      </c>
      <c r="AI8" s="318">
        <v>2018</v>
      </c>
      <c r="AJ8" s="318" t="str">
        <f t="shared" ref="AJ8:AJ21" si="66">AH8</f>
        <v>Actual</v>
      </c>
      <c r="AK8" s="318"/>
      <c r="AL8" s="318"/>
      <c r="AM8" s="317">
        <f t="shared" si="6"/>
        <v>6502252.1655437937</v>
      </c>
      <c r="AN8" s="318" t="s">
        <v>800</v>
      </c>
      <c r="AO8" s="511">
        <f t="shared" si="7"/>
        <v>624066.73083092726</v>
      </c>
      <c r="AP8" s="511">
        <f>AM8-AO8</f>
        <v>5878185.4347128663</v>
      </c>
      <c r="AQ8" s="511">
        <f t="shared" si="8"/>
        <v>156016.68270773182</v>
      </c>
      <c r="AR8" s="511">
        <f>AP8-AQ8</f>
        <v>5722168.7520051347</v>
      </c>
      <c r="AS8" s="511">
        <f>HLOOKUP($C$1,'Inflation Adjustments'!$BI$3:$BT$4,2)*CR8</f>
        <v>10084927.943999998</v>
      </c>
      <c r="AT8" s="511">
        <f>IF(BU8="In Service",'Maintenace Cost Assumptions'!$B$3*AS8,0)</f>
        <v>50424.639719999992</v>
      </c>
      <c r="AU8" s="318">
        <v>4</v>
      </c>
      <c r="AV8" s="318">
        <v>4</v>
      </c>
      <c r="AW8" s="318">
        <v>4</v>
      </c>
      <c r="AX8" s="318">
        <v>4</v>
      </c>
      <c r="AY8" s="318">
        <v>3</v>
      </c>
      <c r="AZ8" s="318">
        <v>3</v>
      </c>
      <c r="BA8" s="318">
        <v>3</v>
      </c>
      <c r="BB8" s="318"/>
      <c r="BC8" s="318"/>
      <c r="BD8" s="318"/>
      <c r="BE8" s="318">
        <v>3</v>
      </c>
      <c r="BF8" s="318"/>
      <c r="BG8" s="332">
        <f>(AU8*'Condition rating weights'!H$8+AV8*'Condition rating weights'!I$8+AW8*'Condition rating weights'!J$8+AX8*'Condition rating weights'!K$8+AY8*'Condition rating weights'!L$8+AZ8*'Condition rating weights'!M$8+BA8*'Condition rating weights'!N$8+BB8*'Condition rating weights'!O$8+BC8*'Condition rating weights'!P$8+BD8*'Condition rating weights'!Q$8+BE8*'Condition rating weights'!R$8+BF8*'Condition rating weights'!S$8)/100</f>
        <v>0.7</v>
      </c>
      <c r="BH8" s="333">
        <v>1</v>
      </c>
      <c r="BI8" s="333">
        <v>411</v>
      </c>
      <c r="BJ8" s="333" t="s">
        <v>12</v>
      </c>
      <c r="BK8" s="333" t="s">
        <v>959</v>
      </c>
      <c r="BL8" s="333" t="s">
        <v>960</v>
      </c>
      <c r="BM8" s="333" t="s">
        <v>961</v>
      </c>
      <c r="BN8" s="333" t="s">
        <v>117</v>
      </c>
      <c r="BO8" s="333" t="s">
        <v>962</v>
      </c>
      <c r="BP8" s="333" t="s">
        <v>962</v>
      </c>
      <c r="BQ8" s="333" t="s">
        <v>963</v>
      </c>
      <c r="BR8" s="333" t="s">
        <v>964</v>
      </c>
      <c r="BS8" s="333" t="s">
        <v>964</v>
      </c>
      <c r="BT8" s="334" t="s">
        <v>983</v>
      </c>
      <c r="BU8" s="335" t="s">
        <v>1430</v>
      </c>
      <c r="BV8" s="255"/>
      <c r="BY8" s="376" t="str">
        <f>'GRC and TUL Assumptions'!A8</f>
        <v>Exterior Wall Cladding</v>
      </c>
      <c r="BZ8" s="373">
        <f>'GRC and TUL Assumptions'!C8</f>
        <v>150</v>
      </c>
      <c r="CA8" s="373">
        <f>'GRC and TUL Assumptions'!D8</f>
        <v>230</v>
      </c>
      <c r="CB8" s="373">
        <f>'GRC and TUL Assumptions'!E8</f>
        <v>300</v>
      </c>
      <c r="CC8" s="373">
        <v>0</v>
      </c>
      <c r="CD8" s="373">
        <f>'GRC and TUL Assumptions'!F8</f>
        <v>20</v>
      </c>
      <c r="CE8" s="373">
        <f>'GRC and TUL Assumptions'!G8</f>
        <v>30</v>
      </c>
      <c r="CF8" s="373">
        <f>'GRC and TUL Assumptions'!H8</f>
        <v>40</v>
      </c>
      <c r="CG8" s="373">
        <f t="shared" si="63"/>
        <v>20</v>
      </c>
      <c r="CH8" s="378">
        <f t="shared" si="9"/>
        <v>582400</v>
      </c>
      <c r="CI8" s="378">
        <f t="shared" si="10"/>
        <v>2329600</v>
      </c>
      <c r="CJ8" s="378">
        <f t="shared" si="11"/>
        <v>873600</v>
      </c>
      <c r="CK8" s="378">
        <f t="shared" si="12"/>
        <v>873600</v>
      </c>
      <c r="CL8" s="378">
        <f t="shared" si="13"/>
        <v>1019200</v>
      </c>
      <c r="CM8" s="378">
        <f t="shared" si="14"/>
        <v>291200</v>
      </c>
      <c r="CN8" s="378">
        <f t="shared" si="15"/>
        <v>0</v>
      </c>
      <c r="CO8" s="378">
        <f t="shared" si="16"/>
        <v>291200</v>
      </c>
      <c r="CP8" s="378">
        <f t="shared" si="17"/>
        <v>378560</v>
      </c>
      <c r="CQ8" s="378">
        <f t="shared" si="18"/>
        <v>116480</v>
      </c>
      <c r="CR8" s="354">
        <f t="shared" si="64"/>
        <v>6755840</v>
      </c>
      <c r="CS8" s="379">
        <f>(HLOOKUP($AI8,'Inflation Adjustments'!$B$3:$BT$4,2,TRUE))*CH8</f>
        <v>560538.97978825797</v>
      </c>
      <c r="CT8" s="379">
        <f>(HLOOKUP($AI8,'Inflation Adjustments'!$B$3:$BT$4,2,TRUE))*CI8</f>
        <v>2242155.9191530319</v>
      </c>
      <c r="CU8" s="379">
        <f>(HLOOKUP($AI8,'Inflation Adjustments'!$B$3:$BT$4,2,TRUE))*CJ8</f>
        <v>840808.46968238696</v>
      </c>
      <c r="CV8" s="379">
        <f>(HLOOKUP($AI8,'Inflation Adjustments'!$B$3:$BT$4,2,TRUE))*CK8</f>
        <v>840808.46968238696</v>
      </c>
      <c r="CW8" s="379">
        <f>(HLOOKUP($AI8,'Inflation Adjustments'!$B$3:$BT$4,2,TRUE))*CL8</f>
        <v>980943.2146294514</v>
      </c>
      <c r="CX8" s="379">
        <f>(HLOOKUP($AI8,'Inflation Adjustments'!$B$3:$BT$4,2,TRUE))*CM8</f>
        <v>280269.48989412899</v>
      </c>
      <c r="CY8" s="379">
        <f>(HLOOKUP($AI8,'Inflation Adjustments'!$B$3:$BT$4,2,TRUE))*CN8</f>
        <v>0</v>
      </c>
      <c r="CZ8" s="379">
        <f>(HLOOKUP($AI8,'Inflation Adjustments'!$B$3:$BT$4,2,TRUE))*CO8</f>
        <v>280269.48989412899</v>
      </c>
      <c r="DA8" s="379">
        <f>(HLOOKUP($AI8,'Inflation Adjustments'!$B$3:$BT$4,2,TRUE))*CP8</f>
        <v>364350.33686236769</v>
      </c>
      <c r="DB8" s="379">
        <f>(HLOOKUP($AI8,'Inflation Adjustments'!$B$3:$BT$4,2,TRUE))*CQ8</f>
        <v>112107.79595765159</v>
      </c>
      <c r="DC8" s="379">
        <f t="shared" si="19"/>
        <v>6502252.1655437937</v>
      </c>
      <c r="DD8" s="354">
        <f t="shared" si="20"/>
        <v>4</v>
      </c>
      <c r="DE8" s="378">
        <f t="shared" si="21"/>
        <v>60</v>
      </c>
      <c r="DF8" s="378">
        <f t="shared" si="22"/>
        <v>60</v>
      </c>
      <c r="DG8" s="378">
        <f t="shared" si="23"/>
        <v>30</v>
      </c>
      <c r="DH8" s="378">
        <f t="shared" si="24"/>
        <v>40</v>
      </c>
      <c r="DI8" s="378">
        <f t="shared" si="25"/>
        <v>60</v>
      </c>
      <c r="DJ8" s="378">
        <f t="shared" si="26"/>
        <v>20</v>
      </c>
      <c r="DK8" s="378">
        <f t="shared" si="27"/>
        <v>10</v>
      </c>
      <c r="DL8" s="378">
        <f t="shared" si="28"/>
        <v>20</v>
      </c>
      <c r="DM8" s="378">
        <f t="shared" si="29"/>
        <v>30</v>
      </c>
      <c r="DN8" s="378">
        <f t="shared" si="30"/>
        <v>30</v>
      </c>
      <c r="DO8" s="380">
        <f t="shared" si="31"/>
        <v>9342.3163298043</v>
      </c>
      <c r="DP8" s="380">
        <f t="shared" si="32"/>
        <v>37369.2653192172</v>
      </c>
      <c r="DQ8" s="380">
        <f t="shared" si="33"/>
        <v>28026.9489894129</v>
      </c>
      <c r="DR8" s="380">
        <f t="shared" si="34"/>
        <v>21020.211742059673</v>
      </c>
      <c r="DS8" s="380">
        <f t="shared" si="35"/>
        <v>16349.053577157523</v>
      </c>
      <c r="DT8" s="380">
        <f t="shared" si="36"/>
        <v>14013.47449470645</v>
      </c>
      <c r="DU8" s="380">
        <f t="shared" si="37"/>
        <v>0</v>
      </c>
      <c r="DV8" s="380">
        <f t="shared" si="38"/>
        <v>14013.47449470645</v>
      </c>
      <c r="DW8" s="380">
        <f t="shared" si="39"/>
        <v>12145.01122874559</v>
      </c>
      <c r="DX8" s="380">
        <f t="shared" si="40"/>
        <v>3736.9265319217197</v>
      </c>
      <c r="DY8" s="380">
        <f t="shared" si="65"/>
        <v>156016.68270773182</v>
      </c>
      <c r="DZ8" s="378">
        <f t="shared" si="41"/>
        <v>37369.2653192172</v>
      </c>
      <c r="EA8" s="378">
        <f t="shared" si="42"/>
        <v>149477.0612768688</v>
      </c>
      <c r="EB8" s="378">
        <f t="shared" si="43"/>
        <v>112107.7959576516</v>
      </c>
      <c r="EC8" s="378">
        <f t="shared" si="44"/>
        <v>84080.846968238693</v>
      </c>
      <c r="ED8" s="378">
        <f t="shared" si="45"/>
        <v>65396.214308630093</v>
      </c>
      <c r="EE8" s="378">
        <f t="shared" si="46"/>
        <v>56053.8979788258</v>
      </c>
      <c r="EF8" s="378">
        <f t="shared" si="47"/>
        <v>0</v>
      </c>
      <c r="EG8" s="378">
        <f t="shared" si="48"/>
        <v>56053.8979788258</v>
      </c>
      <c r="EH8" s="378">
        <f t="shared" si="49"/>
        <v>48580.044914982362</v>
      </c>
      <c r="EI8" s="378">
        <f t="shared" si="50"/>
        <v>14947.706127686879</v>
      </c>
      <c r="EJ8" s="354">
        <f t="shared" si="51"/>
        <v>624066.73083092726</v>
      </c>
      <c r="EK8" s="380">
        <f t="shared" si="52"/>
        <v>9342.3163298043</v>
      </c>
      <c r="EL8" s="380">
        <f t="shared" si="53"/>
        <v>37369.2653192172</v>
      </c>
      <c r="EM8" s="380">
        <f t="shared" si="54"/>
        <v>28026.9489894129</v>
      </c>
      <c r="EN8" s="380">
        <f t="shared" si="55"/>
        <v>21020.211742059673</v>
      </c>
      <c r="EO8" s="380">
        <f t="shared" si="56"/>
        <v>16349.053577157523</v>
      </c>
      <c r="EP8" s="380">
        <f t="shared" si="57"/>
        <v>14013.47449470645</v>
      </c>
      <c r="EQ8" s="380">
        <f t="shared" si="58"/>
        <v>0</v>
      </c>
      <c r="ER8" s="380">
        <f t="shared" si="59"/>
        <v>14013.47449470645</v>
      </c>
      <c r="ES8" s="380">
        <f t="shared" si="60"/>
        <v>12145.01122874559</v>
      </c>
      <c r="ET8" s="380">
        <f t="shared" si="61"/>
        <v>3736.9265319217197</v>
      </c>
      <c r="EU8" s="379">
        <f t="shared" si="62"/>
        <v>156016.68270773182</v>
      </c>
      <c r="EV8" s="382"/>
      <c r="EW8" s="382"/>
      <c r="EX8" s="382"/>
      <c r="EY8" s="382"/>
      <c r="EZ8" s="382"/>
      <c r="FA8" s="382"/>
      <c r="FB8" s="382"/>
    </row>
    <row r="9" spans="1:165" ht="35" customHeight="1" x14ac:dyDescent="0.3">
      <c r="A9" s="330" t="s">
        <v>1810</v>
      </c>
      <c r="B9" s="318" t="s">
        <v>1613</v>
      </c>
      <c r="C9" s="318" t="s">
        <v>64</v>
      </c>
      <c r="D9" s="318" t="s">
        <v>79</v>
      </c>
      <c r="E9" s="318" t="s">
        <v>8</v>
      </c>
      <c r="F9" s="318" t="s">
        <v>943</v>
      </c>
      <c r="G9" s="318" t="s">
        <v>724</v>
      </c>
      <c r="H9" s="318" t="s">
        <v>976</v>
      </c>
      <c r="I9" s="318" t="s">
        <v>977</v>
      </c>
      <c r="J9" s="318" t="s">
        <v>1045</v>
      </c>
      <c r="K9" s="318" t="s">
        <v>1047</v>
      </c>
      <c r="L9" s="318" t="s">
        <v>1055</v>
      </c>
      <c r="M9" s="318" t="s">
        <v>1062</v>
      </c>
      <c r="N9" s="318" t="s">
        <v>1069</v>
      </c>
      <c r="O9" s="318" t="s">
        <v>1074</v>
      </c>
      <c r="P9" s="318" t="s">
        <v>1077</v>
      </c>
      <c r="Q9" s="318" t="s">
        <v>953</v>
      </c>
      <c r="R9" s="318" t="s">
        <v>1086</v>
      </c>
      <c r="S9" s="318" t="s">
        <v>1091</v>
      </c>
      <c r="T9" s="318" t="s">
        <v>104</v>
      </c>
      <c r="U9" s="318" t="s">
        <v>104</v>
      </c>
      <c r="V9" s="318" t="s">
        <v>104</v>
      </c>
      <c r="W9" s="318" t="s">
        <v>104</v>
      </c>
      <c r="X9" s="318" t="s">
        <v>104</v>
      </c>
      <c r="Y9" s="318" t="s">
        <v>104</v>
      </c>
      <c r="Z9" s="318" t="s">
        <v>104</v>
      </c>
      <c r="AA9" s="318" t="s">
        <v>104</v>
      </c>
      <c r="AB9" s="318" t="s">
        <v>104</v>
      </c>
      <c r="AC9" s="318" t="s">
        <v>1018</v>
      </c>
      <c r="AD9" s="318" t="s">
        <v>1771</v>
      </c>
      <c r="AE9" s="318">
        <f>11.8*26</f>
        <v>306.8</v>
      </c>
      <c r="AF9" s="318">
        <v>60</v>
      </c>
      <c r="AG9" s="318">
        <v>2023</v>
      </c>
      <c r="AH9" s="318" t="s">
        <v>982</v>
      </c>
      <c r="AI9" s="318">
        <f t="shared" ref="AI9:AI21" si="67">AG9</f>
        <v>2023</v>
      </c>
      <c r="AJ9" s="318" t="str">
        <f t="shared" si="66"/>
        <v>Actual</v>
      </c>
      <c r="AK9" s="318"/>
      <c r="AL9" s="318"/>
      <c r="AM9" s="317">
        <f t="shared" si="6"/>
        <v>1009851.2168062498</v>
      </c>
      <c r="AN9" s="318" t="s">
        <v>800</v>
      </c>
      <c r="AO9" s="511">
        <f t="shared" si="7"/>
        <v>0</v>
      </c>
      <c r="AP9" s="511">
        <f t="shared" ref="AP9" si="68">AM9-AO9</f>
        <v>1009851.2168062498</v>
      </c>
      <c r="AQ9" s="511">
        <f t="shared" si="8"/>
        <v>25189.03261875</v>
      </c>
      <c r="AR9" s="511">
        <f t="shared" ref="AR9" si="69">AP9-AQ9</f>
        <v>984662.18418749981</v>
      </c>
      <c r="AS9" s="511">
        <f>HLOOKUP($C$1,'Inflation Adjustments'!$BI$3:$BT$4,2)*CR9</f>
        <v>1009851.2168062499</v>
      </c>
      <c r="AT9" s="511">
        <f>IF(BU9="In Service",'Maintenace Cost Assumptions'!$B$3*AS9,0)</f>
        <v>5049.2560840312499</v>
      </c>
      <c r="AU9" s="318">
        <v>4</v>
      </c>
      <c r="AV9" s="318">
        <v>4</v>
      </c>
      <c r="AW9" s="318">
        <v>4</v>
      </c>
      <c r="AX9" s="318">
        <v>4</v>
      </c>
      <c r="AY9" s="318">
        <v>4</v>
      </c>
      <c r="AZ9" s="318">
        <v>4</v>
      </c>
      <c r="BA9" s="318">
        <v>4</v>
      </c>
      <c r="BB9" s="318"/>
      <c r="BC9" s="318"/>
      <c r="BD9" s="318"/>
      <c r="BE9" s="318">
        <v>4</v>
      </c>
      <c r="BF9" s="318"/>
      <c r="BG9" s="332">
        <f>(AU9*'Condition rating weights'!H$8+AV9*'Condition rating weights'!I$8+AW9*'Condition rating weights'!J$8+AX9*'Condition rating weights'!K$8+AY9*'Condition rating weights'!L$8+AZ9*'Condition rating weights'!M$8+BA9*'Condition rating weights'!N$8+BB9*'Condition rating weights'!O$8+BC9*'Condition rating weights'!P$8+BD9*'Condition rating weights'!Q$8+BE9*'Condition rating weights'!R$8+BF9*'Condition rating weights'!S$8)/100</f>
        <v>0.8</v>
      </c>
      <c r="BH9" s="333">
        <v>2</v>
      </c>
      <c r="BI9" s="333">
        <v>121</v>
      </c>
      <c r="BJ9" s="333" t="s">
        <v>12</v>
      </c>
      <c r="BK9" s="333" t="s">
        <v>959</v>
      </c>
      <c r="BL9" s="333" t="s">
        <v>960</v>
      </c>
      <c r="BM9" s="333" t="s">
        <v>961</v>
      </c>
      <c r="BN9" s="333" t="s">
        <v>117</v>
      </c>
      <c r="BO9" s="333" t="s">
        <v>962</v>
      </c>
      <c r="BP9" s="333" t="s">
        <v>962</v>
      </c>
      <c r="BQ9" s="333" t="s">
        <v>963</v>
      </c>
      <c r="BR9" s="333" t="s">
        <v>964</v>
      </c>
      <c r="BS9" s="333" t="s">
        <v>964</v>
      </c>
      <c r="BT9" s="334" t="s">
        <v>965</v>
      </c>
      <c r="BU9" s="335" t="s">
        <v>1430</v>
      </c>
      <c r="BV9" s="255"/>
      <c r="BY9" s="376" t="s">
        <v>165</v>
      </c>
      <c r="BZ9" s="373">
        <v>250</v>
      </c>
      <c r="CA9" s="373">
        <v>350</v>
      </c>
      <c r="CB9" s="373">
        <v>500</v>
      </c>
      <c r="CC9" s="373">
        <v>0</v>
      </c>
      <c r="CD9" s="373">
        <v>40</v>
      </c>
      <c r="CE9" s="373">
        <v>60</v>
      </c>
      <c r="CF9" s="373">
        <v>60</v>
      </c>
      <c r="CG9" s="373">
        <v>40</v>
      </c>
      <c r="CH9" s="378">
        <f t="shared" si="9"/>
        <v>61360</v>
      </c>
      <c r="CI9" s="378">
        <f t="shared" si="10"/>
        <v>245440</v>
      </c>
      <c r="CJ9" s="378">
        <f t="shared" si="11"/>
        <v>23010</v>
      </c>
      <c r="CK9" s="378">
        <f t="shared" si="12"/>
        <v>70564</v>
      </c>
      <c r="CL9" s="378">
        <f t="shared" si="13"/>
        <v>107380</v>
      </c>
      <c r="CM9" s="378">
        <f t="shared" si="14"/>
        <v>46020</v>
      </c>
      <c r="CN9" s="378">
        <f t="shared" si="15"/>
        <v>30680</v>
      </c>
      <c r="CO9" s="378">
        <f t="shared" si="16"/>
        <v>30680</v>
      </c>
      <c r="CP9" s="378">
        <f t="shared" si="17"/>
        <v>39884</v>
      </c>
      <c r="CQ9" s="378">
        <f t="shared" si="18"/>
        <v>21476</v>
      </c>
      <c r="CR9" s="354">
        <f t="shared" ref="CR9:CR14" si="70">SUM(CH9:CQ9)</f>
        <v>676494</v>
      </c>
      <c r="CS9" s="379">
        <f>(HLOOKUP($AI9,'Inflation Adjustments'!$B$3:$BT$4,2,TRUE))*CH9</f>
        <v>91596.482249999986</v>
      </c>
      <c r="CT9" s="379">
        <f>(HLOOKUP($AI9,'Inflation Adjustments'!$B$3:$BT$4,2,TRUE))*CI9</f>
        <v>366385.92899999995</v>
      </c>
      <c r="CU9" s="379">
        <f>(HLOOKUP($AI9,'Inflation Adjustments'!$B$3:$BT$4,2,TRUE))*CJ9</f>
        <v>34348.68084375</v>
      </c>
      <c r="CV9" s="379">
        <f>(HLOOKUP($AI9,'Inflation Adjustments'!$B$3:$BT$4,2,TRUE))*CK9</f>
        <v>105335.95458749999</v>
      </c>
      <c r="CW9" s="379">
        <f>(HLOOKUP($AI9,'Inflation Adjustments'!$B$3:$BT$4,2,TRUE))*CL9</f>
        <v>160293.84393749997</v>
      </c>
      <c r="CX9" s="379">
        <f>(HLOOKUP($AI9,'Inflation Adjustments'!$B$3:$BT$4,2,TRUE))*CM9</f>
        <v>68697.361687500001</v>
      </c>
      <c r="CY9" s="379">
        <f>(HLOOKUP($AI9,'Inflation Adjustments'!$B$3:$BT$4,2,TRUE))*CN9</f>
        <v>45798.241124999993</v>
      </c>
      <c r="CZ9" s="379">
        <f>(HLOOKUP($AI9,'Inflation Adjustments'!$B$3:$BT$4,2,TRUE))*CO9</f>
        <v>45798.241124999993</v>
      </c>
      <c r="DA9" s="379">
        <f>(HLOOKUP($AI9,'Inflation Adjustments'!$B$3:$BT$4,2,TRUE))*CP9</f>
        <v>59537.713462499996</v>
      </c>
      <c r="DB9" s="379">
        <f>(HLOOKUP($AI9,'Inflation Adjustments'!$B$3:$BT$4,2,TRUE))*CQ9</f>
        <v>32058.768787499997</v>
      </c>
      <c r="DC9" s="379">
        <f t="shared" si="19"/>
        <v>1009851.2168062498</v>
      </c>
      <c r="DD9" s="354">
        <f t="shared" si="20"/>
        <v>0</v>
      </c>
      <c r="DE9" s="378">
        <f t="shared" si="21"/>
        <v>60</v>
      </c>
      <c r="DF9" s="378">
        <f t="shared" si="22"/>
        <v>60</v>
      </c>
      <c r="DG9" s="378">
        <f t="shared" si="23"/>
        <v>20</v>
      </c>
      <c r="DH9" s="378">
        <f t="shared" si="24"/>
        <v>30</v>
      </c>
      <c r="DI9" s="378">
        <f t="shared" si="25"/>
        <v>60</v>
      </c>
      <c r="DJ9" s="378">
        <f t="shared" si="26"/>
        <v>30</v>
      </c>
      <c r="DK9" s="378">
        <f t="shared" si="27"/>
        <v>20</v>
      </c>
      <c r="DL9" s="378">
        <f t="shared" si="28"/>
        <v>20</v>
      </c>
      <c r="DM9" s="378">
        <f t="shared" si="29"/>
        <v>30</v>
      </c>
      <c r="DN9" s="378">
        <f t="shared" si="30"/>
        <v>40</v>
      </c>
      <c r="DO9" s="380">
        <f t="shared" si="31"/>
        <v>1526.6080374999997</v>
      </c>
      <c r="DP9" s="380">
        <f t="shared" si="32"/>
        <v>6106.4321499999987</v>
      </c>
      <c r="DQ9" s="380">
        <f t="shared" si="33"/>
        <v>1717.4340421874999</v>
      </c>
      <c r="DR9" s="380">
        <f t="shared" si="34"/>
        <v>3511.1984862499999</v>
      </c>
      <c r="DS9" s="380">
        <f t="shared" si="35"/>
        <v>2671.5640656249993</v>
      </c>
      <c r="DT9" s="380">
        <f t="shared" si="36"/>
        <v>2289.9120562500002</v>
      </c>
      <c r="DU9" s="380">
        <f t="shared" si="37"/>
        <v>2289.9120562499998</v>
      </c>
      <c r="DV9" s="380">
        <f t="shared" si="38"/>
        <v>2289.9120562499998</v>
      </c>
      <c r="DW9" s="380">
        <f t="shared" si="39"/>
        <v>1984.59044875</v>
      </c>
      <c r="DX9" s="380">
        <f t="shared" si="40"/>
        <v>801.46921968749996</v>
      </c>
      <c r="DY9" s="380">
        <f t="shared" ref="DY9:DY14" si="71">SUM(DO9:DX9)</f>
        <v>25189.03261875</v>
      </c>
      <c r="DZ9" s="378">
        <f t="shared" si="41"/>
        <v>0</v>
      </c>
      <c r="EA9" s="378">
        <f t="shared" si="42"/>
        <v>0</v>
      </c>
      <c r="EB9" s="378">
        <f t="shared" si="43"/>
        <v>0</v>
      </c>
      <c r="EC9" s="378">
        <f t="shared" si="44"/>
        <v>0</v>
      </c>
      <c r="ED9" s="378">
        <f t="shared" si="45"/>
        <v>0</v>
      </c>
      <c r="EE9" s="378">
        <f t="shared" si="46"/>
        <v>0</v>
      </c>
      <c r="EF9" s="378">
        <f t="shared" si="47"/>
        <v>0</v>
      </c>
      <c r="EG9" s="378">
        <f t="shared" si="48"/>
        <v>0</v>
      </c>
      <c r="EH9" s="378">
        <f t="shared" si="49"/>
        <v>0</v>
      </c>
      <c r="EI9" s="378">
        <f t="shared" si="50"/>
        <v>0</v>
      </c>
      <c r="EJ9" s="354">
        <f t="shared" si="51"/>
        <v>0</v>
      </c>
      <c r="EK9" s="380">
        <f t="shared" si="52"/>
        <v>1526.6080374999997</v>
      </c>
      <c r="EL9" s="380">
        <f t="shared" si="53"/>
        <v>6106.4321499999987</v>
      </c>
      <c r="EM9" s="380">
        <f t="shared" si="54"/>
        <v>1717.4340421874999</v>
      </c>
      <c r="EN9" s="380">
        <f t="shared" si="55"/>
        <v>3511.1984862499999</v>
      </c>
      <c r="EO9" s="380">
        <f t="shared" si="56"/>
        <v>2671.5640656249993</v>
      </c>
      <c r="EP9" s="380">
        <f t="shared" si="57"/>
        <v>2289.9120562500002</v>
      </c>
      <c r="EQ9" s="380">
        <f t="shared" si="58"/>
        <v>2289.9120562499998</v>
      </c>
      <c r="ER9" s="380">
        <f t="shared" si="59"/>
        <v>2289.9120562499998</v>
      </c>
      <c r="ES9" s="380">
        <f t="shared" si="60"/>
        <v>1984.59044875</v>
      </c>
      <c r="ET9" s="380">
        <f t="shared" si="61"/>
        <v>801.46921968749996</v>
      </c>
      <c r="EU9" s="379">
        <f t="shared" si="62"/>
        <v>25189.03261875</v>
      </c>
      <c r="EV9" s="382"/>
      <c r="EW9" s="382"/>
      <c r="EX9" s="382"/>
      <c r="EY9" s="382"/>
      <c r="EZ9" s="382"/>
      <c r="FA9" s="382"/>
      <c r="FB9" s="382"/>
      <c r="FD9" s="582"/>
      <c r="FE9" s="582"/>
      <c r="FF9" s="582"/>
      <c r="FG9" s="582"/>
      <c r="FH9" s="582"/>
      <c r="FI9" s="582"/>
    </row>
    <row r="10" spans="1:165" ht="35" customHeight="1" x14ac:dyDescent="0.3">
      <c r="A10" s="330" t="s">
        <v>1811</v>
      </c>
      <c r="B10" s="318" t="s">
        <v>995</v>
      </c>
      <c r="C10" s="318" t="s">
        <v>64</v>
      </c>
      <c r="D10" s="318" t="s">
        <v>79</v>
      </c>
      <c r="E10" s="318" t="s">
        <v>8</v>
      </c>
      <c r="F10" s="318" t="s">
        <v>998</v>
      </c>
      <c r="G10" s="318" t="s">
        <v>723</v>
      </c>
      <c r="H10" s="318" t="s">
        <v>996</v>
      </c>
      <c r="I10" s="318" t="s">
        <v>997</v>
      </c>
      <c r="J10" s="318" t="s">
        <v>1045</v>
      </c>
      <c r="K10" s="318" t="s">
        <v>1047</v>
      </c>
      <c r="L10" s="318" t="s">
        <v>1055</v>
      </c>
      <c r="M10" s="318" t="s">
        <v>1062</v>
      </c>
      <c r="N10" s="318" t="s">
        <v>1069</v>
      </c>
      <c r="O10" s="318" t="s">
        <v>1371</v>
      </c>
      <c r="P10" s="318" t="s">
        <v>1078</v>
      </c>
      <c r="Q10" s="318" t="s">
        <v>953</v>
      </c>
      <c r="R10" s="318" t="s">
        <v>1086</v>
      </c>
      <c r="S10" s="318" t="s">
        <v>1089</v>
      </c>
      <c r="T10" s="318" t="s">
        <v>102</v>
      </c>
      <c r="U10" s="318" t="s">
        <v>102</v>
      </c>
      <c r="V10" s="318" t="s">
        <v>102</v>
      </c>
      <c r="W10" s="318" t="s">
        <v>102</v>
      </c>
      <c r="X10" s="318" t="s">
        <v>102</v>
      </c>
      <c r="Y10" s="318" t="s">
        <v>102</v>
      </c>
      <c r="Z10" s="318" t="s">
        <v>102</v>
      </c>
      <c r="AA10" s="318" t="s">
        <v>102</v>
      </c>
      <c r="AB10" s="318" t="s">
        <v>102</v>
      </c>
      <c r="AC10" s="318" t="s">
        <v>102</v>
      </c>
      <c r="AD10" s="318" t="s">
        <v>1771</v>
      </c>
      <c r="AE10" s="318">
        <v>150</v>
      </c>
      <c r="AF10" s="318">
        <v>60</v>
      </c>
      <c r="AG10" s="318">
        <v>1980</v>
      </c>
      <c r="AH10" s="318" t="s">
        <v>800</v>
      </c>
      <c r="AI10" s="318">
        <f t="shared" si="67"/>
        <v>1980</v>
      </c>
      <c r="AJ10" s="318" t="str">
        <f t="shared" si="66"/>
        <v>Estimated</v>
      </c>
      <c r="AK10" s="318"/>
      <c r="AL10" s="318"/>
      <c r="AM10" s="317">
        <f t="shared" si="6"/>
        <v>49466.00405479483</v>
      </c>
      <c r="AN10" s="318" t="s">
        <v>800</v>
      </c>
      <c r="AO10" s="511">
        <f t="shared" si="7"/>
        <v>49466.00405479483</v>
      </c>
      <c r="AP10" s="511">
        <f t="shared" ref="AP10:AP21" si="72">AM10-AO10</f>
        <v>0</v>
      </c>
      <c r="AQ10" s="511">
        <f t="shared" si="8"/>
        <v>0</v>
      </c>
      <c r="AR10" s="511">
        <f t="shared" ref="AR10:AR21" si="73">AP10-AQ10</f>
        <v>0</v>
      </c>
      <c r="AS10" s="511">
        <f>HLOOKUP($C$1,'Inflation Adjustments'!$BI$3:$BT$4,2)*CR10</f>
        <v>342591.14531249995</v>
      </c>
      <c r="AT10" s="511">
        <f>IF(BU10="In Service",'Maintenace Cost Assumptions'!$B$3*AS10,0)</f>
        <v>1712.9557265624999</v>
      </c>
      <c r="AU10" s="318">
        <v>3</v>
      </c>
      <c r="AV10" s="318">
        <v>3</v>
      </c>
      <c r="AW10" s="318">
        <v>3</v>
      </c>
      <c r="AX10" s="318">
        <v>3</v>
      </c>
      <c r="AY10" s="318">
        <v>3</v>
      </c>
      <c r="AZ10" s="318">
        <v>3</v>
      </c>
      <c r="BA10" s="318">
        <v>3</v>
      </c>
      <c r="BB10" s="318"/>
      <c r="BC10" s="318"/>
      <c r="BD10" s="318"/>
      <c r="BE10" s="318">
        <v>4</v>
      </c>
      <c r="BF10" s="318"/>
      <c r="BG10" s="332">
        <f>(AU10*'Condition rating weights'!H$8+AV10*'Condition rating weights'!I$8+AW10*'Condition rating weights'!J$8+AX10*'Condition rating weights'!K$8+AY10*'Condition rating weights'!L$8+AZ10*'Condition rating weights'!M$8+BA10*'Condition rating weights'!N$8+BB10*'Condition rating weights'!O$8+BC10*'Condition rating weights'!P$8+BD10*'Condition rating weights'!Q$8+BE10*'Condition rating weights'!R$8+BF10*'Condition rating weights'!S$8)/100</f>
        <v>0.66</v>
      </c>
      <c r="BH10" s="333">
        <v>1</v>
      </c>
      <c r="BI10" s="333">
        <v>111</v>
      </c>
      <c r="BJ10" s="333" t="s">
        <v>12</v>
      </c>
      <c r="BK10" s="333" t="s">
        <v>959</v>
      </c>
      <c r="BL10" s="333" t="s">
        <v>960</v>
      </c>
      <c r="BM10" s="333" t="s">
        <v>961</v>
      </c>
      <c r="BN10" s="333" t="s">
        <v>117</v>
      </c>
      <c r="BO10" s="333" t="s">
        <v>962</v>
      </c>
      <c r="BP10" s="333" t="s">
        <v>962</v>
      </c>
      <c r="BQ10" s="333" t="s">
        <v>978</v>
      </c>
      <c r="BR10" s="333" t="s">
        <v>964</v>
      </c>
      <c r="BS10" s="333" t="s">
        <v>964</v>
      </c>
      <c r="BT10" s="334" t="s">
        <v>965</v>
      </c>
      <c r="BU10" s="335" t="s">
        <v>1430</v>
      </c>
      <c r="BV10" s="255"/>
      <c r="BY10" s="376" t="s">
        <v>166</v>
      </c>
      <c r="BZ10" s="373">
        <v>100</v>
      </c>
      <c r="CA10" s="373">
        <v>150</v>
      </c>
      <c r="CB10" s="373">
        <v>300</v>
      </c>
      <c r="CC10" s="373">
        <v>0</v>
      </c>
      <c r="CD10" s="373">
        <v>20</v>
      </c>
      <c r="CE10" s="373">
        <v>30</v>
      </c>
      <c r="CF10" s="373">
        <v>40</v>
      </c>
      <c r="CG10" s="373">
        <v>20</v>
      </c>
      <c r="CH10" s="378">
        <f t="shared" si="9"/>
        <v>22500</v>
      </c>
      <c r="CI10" s="378">
        <f t="shared" si="10"/>
        <v>75000</v>
      </c>
      <c r="CJ10" s="378">
        <f t="shared" si="11"/>
        <v>15000</v>
      </c>
      <c r="CK10" s="378">
        <f t="shared" si="12"/>
        <v>22500</v>
      </c>
      <c r="CL10" s="378">
        <f t="shared" si="13"/>
        <v>37500</v>
      </c>
      <c r="CM10" s="378">
        <f t="shared" si="14"/>
        <v>15000</v>
      </c>
      <c r="CN10" s="378">
        <f t="shared" si="15"/>
        <v>12000</v>
      </c>
      <c r="CO10" s="378">
        <f t="shared" si="16"/>
        <v>12000</v>
      </c>
      <c r="CP10" s="378">
        <f t="shared" si="17"/>
        <v>15000</v>
      </c>
      <c r="CQ10" s="378">
        <f t="shared" si="18"/>
        <v>3000</v>
      </c>
      <c r="CR10" s="354">
        <f t="shared" si="70"/>
        <v>229500</v>
      </c>
      <c r="CS10" s="379">
        <f>(HLOOKUP($AI10,'Inflation Adjustments'!$B$3:$BT$4,2,TRUE))*CH10</f>
        <v>4849.6082406661608</v>
      </c>
      <c r="CT10" s="379">
        <f>(HLOOKUP($AI10,'Inflation Adjustments'!$B$3:$BT$4,2,TRUE))*CI10</f>
        <v>16165.360802220535</v>
      </c>
      <c r="CU10" s="379">
        <f>(HLOOKUP($AI10,'Inflation Adjustments'!$B$3:$BT$4,2,TRUE))*CJ10</f>
        <v>3233.0721604441069</v>
      </c>
      <c r="CV10" s="379">
        <f>(HLOOKUP($AI10,'Inflation Adjustments'!$B$3:$BT$4,2,TRUE))*CK10</f>
        <v>4849.6082406661608</v>
      </c>
      <c r="CW10" s="379">
        <f>(HLOOKUP($AI10,'Inflation Adjustments'!$B$3:$BT$4,2,TRUE))*CL10</f>
        <v>8082.6804011102677</v>
      </c>
      <c r="CX10" s="379">
        <f>(HLOOKUP($AI10,'Inflation Adjustments'!$B$3:$BT$4,2,TRUE))*CM10</f>
        <v>3233.0721604441069</v>
      </c>
      <c r="CY10" s="379">
        <f>(HLOOKUP($AI10,'Inflation Adjustments'!$B$3:$BT$4,2,TRUE))*CN10</f>
        <v>2586.4577283552858</v>
      </c>
      <c r="CZ10" s="379">
        <f>(HLOOKUP($AI10,'Inflation Adjustments'!$B$3:$BT$4,2,TRUE))*CO10</f>
        <v>2586.4577283552858</v>
      </c>
      <c r="DA10" s="379">
        <f>(HLOOKUP($AI10,'Inflation Adjustments'!$B$3:$BT$4,2,TRUE))*CP10</f>
        <v>3233.0721604441069</v>
      </c>
      <c r="DB10" s="379">
        <f>(HLOOKUP($AI10,'Inflation Adjustments'!$B$3:$BT$4,2,TRUE))*CQ10</f>
        <v>646.61443208882145</v>
      </c>
      <c r="DC10" s="379">
        <f t="shared" si="19"/>
        <v>49466.00405479483</v>
      </c>
      <c r="DD10" s="354">
        <f t="shared" si="20"/>
        <v>42</v>
      </c>
      <c r="DE10" s="378">
        <f t="shared" si="21"/>
        <v>40</v>
      </c>
      <c r="DF10" s="378">
        <f t="shared" si="22"/>
        <v>40</v>
      </c>
      <c r="DG10" s="378">
        <f t="shared" si="23"/>
        <v>10</v>
      </c>
      <c r="DH10" s="378">
        <f t="shared" si="24"/>
        <v>20</v>
      </c>
      <c r="DI10" s="378">
        <f t="shared" si="25"/>
        <v>40</v>
      </c>
      <c r="DJ10" s="378">
        <f t="shared" si="26"/>
        <v>20</v>
      </c>
      <c r="DK10" s="378">
        <f t="shared" si="27"/>
        <v>10</v>
      </c>
      <c r="DL10" s="378">
        <f t="shared" si="28"/>
        <v>10</v>
      </c>
      <c r="DM10" s="378">
        <f t="shared" si="29"/>
        <v>20</v>
      </c>
      <c r="DN10" s="378">
        <f t="shared" si="30"/>
        <v>20</v>
      </c>
      <c r="DO10" s="380">
        <f t="shared" si="31"/>
        <v>121.24020601665401</v>
      </c>
      <c r="DP10" s="380">
        <f t="shared" si="32"/>
        <v>404.13402005551336</v>
      </c>
      <c r="DQ10" s="380">
        <f t="shared" si="33"/>
        <v>323.30721604441067</v>
      </c>
      <c r="DR10" s="380">
        <f t="shared" si="34"/>
        <v>242.48041203330803</v>
      </c>
      <c r="DS10" s="380">
        <f t="shared" si="35"/>
        <v>202.06701002775668</v>
      </c>
      <c r="DT10" s="380">
        <f t="shared" si="36"/>
        <v>161.65360802220533</v>
      </c>
      <c r="DU10" s="380">
        <f t="shared" si="37"/>
        <v>258.64577283552859</v>
      </c>
      <c r="DV10" s="380">
        <f t="shared" si="38"/>
        <v>258.64577283552859</v>
      </c>
      <c r="DW10" s="380">
        <f t="shared" si="39"/>
        <v>161.65360802220533</v>
      </c>
      <c r="DX10" s="380">
        <f t="shared" si="40"/>
        <v>32.330721604441074</v>
      </c>
      <c r="DY10" s="380">
        <f t="shared" si="71"/>
        <v>2166.1583474975514</v>
      </c>
      <c r="DZ10" s="378">
        <f t="shared" si="41"/>
        <v>4849.6082406661608</v>
      </c>
      <c r="EA10" s="378">
        <f t="shared" si="42"/>
        <v>16165.360802220535</v>
      </c>
      <c r="EB10" s="378">
        <f t="shared" si="43"/>
        <v>3233.0721604441069</v>
      </c>
      <c r="EC10" s="378">
        <f t="shared" si="44"/>
        <v>4849.6082406661608</v>
      </c>
      <c r="ED10" s="378">
        <f t="shared" si="45"/>
        <v>8082.6804011102677</v>
      </c>
      <c r="EE10" s="378">
        <f t="shared" si="46"/>
        <v>3233.0721604441069</v>
      </c>
      <c r="EF10" s="378">
        <f t="shared" si="47"/>
        <v>2586.4577283552858</v>
      </c>
      <c r="EG10" s="378">
        <f t="shared" si="48"/>
        <v>2586.4577283552858</v>
      </c>
      <c r="EH10" s="378">
        <f t="shared" si="49"/>
        <v>3233.0721604441069</v>
      </c>
      <c r="EI10" s="378">
        <f t="shared" si="50"/>
        <v>646.61443208882145</v>
      </c>
      <c r="EJ10" s="354">
        <f t="shared" si="51"/>
        <v>49466.00405479483</v>
      </c>
      <c r="EK10" s="380">
        <f t="shared" si="52"/>
        <v>0</v>
      </c>
      <c r="EL10" s="380">
        <f t="shared" si="53"/>
        <v>0</v>
      </c>
      <c r="EM10" s="380">
        <f t="shared" si="54"/>
        <v>0</v>
      </c>
      <c r="EN10" s="380">
        <f t="shared" si="55"/>
        <v>0</v>
      </c>
      <c r="EO10" s="380">
        <f t="shared" si="56"/>
        <v>0</v>
      </c>
      <c r="EP10" s="380">
        <f t="shared" si="57"/>
        <v>0</v>
      </c>
      <c r="EQ10" s="380">
        <f t="shared" si="58"/>
        <v>0</v>
      </c>
      <c r="ER10" s="380">
        <f t="shared" si="59"/>
        <v>0</v>
      </c>
      <c r="ES10" s="380">
        <f t="shared" si="60"/>
        <v>0</v>
      </c>
      <c r="ET10" s="380">
        <f t="shared" si="61"/>
        <v>0</v>
      </c>
      <c r="EU10" s="379">
        <f t="shared" si="62"/>
        <v>0</v>
      </c>
      <c r="EV10" s="382"/>
      <c r="EW10" s="382"/>
      <c r="EX10" s="382"/>
      <c r="EY10" s="382"/>
      <c r="EZ10" s="382"/>
      <c r="FA10" s="382"/>
      <c r="FB10" s="382"/>
      <c r="FD10" s="582"/>
      <c r="FE10" s="582"/>
      <c r="FF10" s="582"/>
      <c r="FG10" s="582"/>
      <c r="FH10" s="582"/>
      <c r="FI10" s="582"/>
    </row>
    <row r="11" spans="1:165" ht="35" customHeight="1" x14ac:dyDescent="0.3">
      <c r="A11" s="330" t="s">
        <v>1812</v>
      </c>
      <c r="B11" s="318" t="s">
        <v>1100</v>
      </c>
      <c r="C11" s="318" t="s">
        <v>64</v>
      </c>
      <c r="D11" s="318" t="s">
        <v>79</v>
      </c>
      <c r="E11" s="318" t="s">
        <v>8</v>
      </c>
      <c r="F11" s="318" t="s">
        <v>274</v>
      </c>
      <c r="G11" s="318" t="s">
        <v>1007</v>
      </c>
      <c r="H11" s="318" t="s">
        <v>1008</v>
      </c>
      <c r="I11" s="318" t="s">
        <v>1009</v>
      </c>
      <c r="J11" s="318" t="s">
        <v>1045</v>
      </c>
      <c r="K11" s="318" t="s">
        <v>1046</v>
      </c>
      <c r="L11" s="318" t="s">
        <v>1055</v>
      </c>
      <c r="M11" s="318" t="s">
        <v>1059</v>
      </c>
      <c r="N11" s="318" t="s">
        <v>1069</v>
      </c>
      <c r="O11" s="318" t="s">
        <v>1371</v>
      </c>
      <c r="P11" s="318" t="s">
        <v>1078</v>
      </c>
      <c r="Q11" s="318" t="s">
        <v>952</v>
      </c>
      <c r="R11" s="318" t="s">
        <v>1085</v>
      </c>
      <c r="S11" s="318" t="s">
        <v>1089</v>
      </c>
      <c r="T11" s="318" t="s">
        <v>104</v>
      </c>
      <c r="U11" s="318" t="s">
        <v>104</v>
      </c>
      <c r="V11" s="318" t="s">
        <v>104</v>
      </c>
      <c r="W11" s="318" t="s">
        <v>104</v>
      </c>
      <c r="X11" s="318" t="s">
        <v>104</v>
      </c>
      <c r="Y11" s="318" t="s">
        <v>104</v>
      </c>
      <c r="Z11" s="318" t="s">
        <v>104</v>
      </c>
      <c r="AA11" s="318" t="s">
        <v>104</v>
      </c>
      <c r="AB11" s="318" t="s">
        <v>104</v>
      </c>
      <c r="AC11" s="318" t="s">
        <v>104</v>
      </c>
      <c r="AD11" s="318" t="s">
        <v>1771</v>
      </c>
      <c r="AE11" s="318">
        <v>250</v>
      </c>
      <c r="AF11" s="318">
        <v>60</v>
      </c>
      <c r="AG11" s="318">
        <v>1960</v>
      </c>
      <c r="AH11" s="318" t="s">
        <v>800</v>
      </c>
      <c r="AI11" s="318">
        <f t="shared" si="67"/>
        <v>1960</v>
      </c>
      <c r="AJ11" s="318" t="str">
        <f t="shared" si="66"/>
        <v>Estimated</v>
      </c>
      <c r="AK11" s="318"/>
      <c r="AL11" s="318"/>
      <c r="AM11" s="317">
        <f t="shared" si="6"/>
        <v>55332.447380756261</v>
      </c>
      <c r="AN11" s="318" t="s">
        <v>800</v>
      </c>
      <c r="AO11" s="511">
        <f t="shared" si="7"/>
        <v>55332.447380756261</v>
      </c>
      <c r="AP11" s="511">
        <f t="shared" si="72"/>
        <v>0</v>
      </c>
      <c r="AQ11" s="511">
        <f t="shared" si="8"/>
        <v>0</v>
      </c>
      <c r="AR11" s="511">
        <f t="shared" si="73"/>
        <v>0</v>
      </c>
      <c r="AS11" s="511">
        <f>HLOOKUP($C$1,'Inflation Adjustments'!$BI$3:$BT$4,2)*CR11</f>
        <v>839684.17968749988</v>
      </c>
      <c r="AT11" s="511">
        <f>IF(BU11="In Service",'Maintenace Cost Assumptions'!$B$3*AS11,0)</f>
        <v>4198.4208984374991</v>
      </c>
      <c r="AU11" s="318">
        <v>3</v>
      </c>
      <c r="AV11" s="318">
        <v>3</v>
      </c>
      <c r="AW11" s="318">
        <v>3</v>
      </c>
      <c r="AX11" s="318">
        <v>3</v>
      </c>
      <c r="AY11" s="318">
        <v>3</v>
      </c>
      <c r="AZ11" s="318">
        <v>3</v>
      </c>
      <c r="BA11" s="318">
        <v>3</v>
      </c>
      <c r="BB11" s="318"/>
      <c r="BC11" s="318"/>
      <c r="BD11" s="318"/>
      <c r="BE11" s="318">
        <v>2</v>
      </c>
      <c r="BF11" s="318"/>
      <c r="BG11" s="332">
        <f>(AU11*'Condition rating weights'!H$8+AV11*'Condition rating weights'!I$8+AW11*'Condition rating weights'!J$8+AX11*'Condition rating weights'!K$8+AY11*'Condition rating weights'!L$8+AZ11*'Condition rating weights'!M$8+BA11*'Condition rating weights'!N$8+BB11*'Condition rating weights'!O$8+BC11*'Condition rating weights'!P$8+BD11*'Condition rating weights'!Q$8+BE11*'Condition rating weights'!R$8+BF11*'Condition rating weights'!S$8)/100</f>
        <v>0.54</v>
      </c>
      <c r="BH11" s="333">
        <v>1</v>
      </c>
      <c r="BI11" s="333">
        <v>211</v>
      </c>
      <c r="BJ11" s="333" t="s">
        <v>12</v>
      </c>
      <c r="BK11" s="333" t="s">
        <v>959</v>
      </c>
      <c r="BL11" s="333" t="s">
        <v>960</v>
      </c>
      <c r="BM11" s="333" t="s">
        <v>961</v>
      </c>
      <c r="BN11" s="333" t="s">
        <v>117</v>
      </c>
      <c r="BO11" s="333" t="s">
        <v>962</v>
      </c>
      <c r="BP11" s="333" t="s">
        <v>962</v>
      </c>
      <c r="BQ11" s="333" t="s">
        <v>963</v>
      </c>
      <c r="BR11" s="333" t="s">
        <v>964</v>
      </c>
      <c r="BS11" s="333" t="s">
        <v>964</v>
      </c>
      <c r="BT11" s="334" t="s">
        <v>965</v>
      </c>
      <c r="BU11" s="335" t="s">
        <v>1430</v>
      </c>
      <c r="BV11" s="255"/>
      <c r="BY11" s="376" t="s">
        <v>167</v>
      </c>
      <c r="BZ11" s="373">
        <v>80</v>
      </c>
      <c r="CA11" s="373">
        <v>100</v>
      </c>
      <c r="CB11" s="373">
        <v>150</v>
      </c>
      <c r="CC11" s="373">
        <v>0</v>
      </c>
      <c r="CD11" s="373">
        <v>10</v>
      </c>
      <c r="CE11" s="373">
        <v>20</v>
      </c>
      <c r="CF11" s="373">
        <v>30</v>
      </c>
      <c r="CG11" s="373">
        <v>10</v>
      </c>
      <c r="CH11" s="378">
        <f t="shared" si="9"/>
        <v>50000</v>
      </c>
      <c r="CI11" s="378">
        <f t="shared" si="10"/>
        <v>200000</v>
      </c>
      <c r="CJ11" s="378">
        <f t="shared" si="11"/>
        <v>37500</v>
      </c>
      <c r="CK11" s="378">
        <f t="shared" si="12"/>
        <v>57500</v>
      </c>
      <c r="CL11" s="378">
        <f t="shared" si="13"/>
        <v>87500</v>
      </c>
      <c r="CM11" s="378">
        <f t="shared" si="14"/>
        <v>37500</v>
      </c>
      <c r="CN11" s="378">
        <f t="shared" si="15"/>
        <v>25000</v>
      </c>
      <c r="CO11" s="378">
        <f t="shared" si="16"/>
        <v>25000</v>
      </c>
      <c r="CP11" s="378">
        <f t="shared" si="17"/>
        <v>32500</v>
      </c>
      <c r="CQ11" s="378">
        <f t="shared" si="18"/>
        <v>10000</v>
      </c>
      <c r="CR11" s="354">
        <f t="shared" si="70"/>
        <v>562500</v>
      </c>
      <c r="CS11" s="379">
        <f>(HLOOKUP($AI11,'Inflation Adjustments'!$B$3:$BT$4,2,TRUE))*CH11</f>
        <v>4918.4397671783336</v>
      </c>
      <c r="CT11" s="379">
        <f>(HLOOKUP($AI11,'Inflation Adjustments'!$B$3:$BT$4,2,TRUE))*CI11</f>
        <v>19673.759068713334</v>
      </c>
      <c r="CU11" s="379">
        <f>(HLOOKUP($AI11,'Inflation Adjustments'!$B$3:$BT$4,2,TRUE))*CJ11</f>
        <v>3688.8298253837502</v>
      </c>
      <c r="CV11" s="379">
        <f>(HLOOKUP($AI11,'Inflation Adjustments'!$B$3:$BT$4,2,TRUE))*CK11</f>
        <v>5656.2057322550836</v>
      </c>
      <c r="CW11" s="379">
        <f>(HLOOKUP($AI11,'Inflation Adjustments'!$B$3:$BT$4,2,TRUE))*CL11</f>
        <v>8607.2695925620828</v>
      </c>
      <c r="CX11" s="379">
        <f>(HLOOKUP($AI11,'Inflation Adjustments'!$B$3:$BT$4,2,TRUE))*CM11</f>
        <v>3688.8298253837502</v>
      </c>
      <c r="CY11" s="379">
        <f>(HLOOKUP($AI11,'Inflation Adjustments'!$B$3:$BT$4,2,TRUE))*CN11</f>
        <v>2459.2198835891668</v>
      </c>
      <c r="CZ11" s="379">
        <f>(HLOOKUP($AI11,'Inflation Adjustments'!$B$3:$BT$4,2,TRUE))*CO11</f>
        <v>2459.2198835891668</v>
      </c>
      <c r="DA11" s="379">
        <f>(HLOOKUP($AI11,'Inflation Adjustments'!$B$3:$BT$4,2,TRUE))*CP11</f>
        <v>3196.9858486659168</v>
      </c>
      <c r="DB11" s="379">
        <f>(HLOOKUP($AI11,'Inflation Adjustments'!$B$3:$BT$4,2,TRUE))*CQ11</f>
        <v>983.68795343566671</v>
      </c>
      <c r="DC11" s="379">
        <f t="shared" si="19"/>
        <v>55332.447380756261</v>
      </c>
      <c r="DD11" s="354">
        <f t="shared" si="20"/>
        <v>62</v>
      </c>
      <c r="DE11" s="378">
        <f t="shared" si="21"/>
        <v>60</v>
      </c>
      <c r="DF11" s="378">
        <f t="shared" si="22"/>
        <v>60</v>
      </c>
      <c r="DG11" s="378">
        <f t="shared" si="23"/>
        <v>20</v>
      </c>
      <c r="DH11" s="378">
        <f t="shared" si="24"/>
        <v>30</v>
      </c>
      <c r="DI11" s="378">
        <f t="shared" si="25"/>
        <v>60</v>
      </c>
      <c r="DJ11" s="378">
        <f t="shared" si="26"/>
        <v>30</v>
      </c>
      <c r="DK11" s="378">
        <f t="shared" si="27"/>
        <v>20</v>
      </c>
      <c r="DL11" s="378">
        <f t="shared" si="28"/>
        <v>20</v>
      </c>
      <c r="DM11" s="378">
        <f t="shared" si="29"/>
        <v>30</v>
      </c>
      <c r="DN11" s="378">
        <f t="shared" si="30"/>
        <v>30</v>
      </c>
      <c r="DO11" s="380">
        <f t="shared" si="31"/>
        <v>81.973996119638898</v>
      </c>
      <c r="DP11" s="380">
        <f t="shared" si="32"/>
        <v>327.89598447855559</v>
      </c>
      <c r="DQ11" s="380">
        <f t="shared" si="33"/>
        <v>184.44149126918751</v>
      </c>
      <c r="DR11" s="380">
        <f t="shared" si="34"/>
        <v>188.54019107516945</v>
      </c>
      <c r="DS11" s="380">
        <f t="shared" si="35"/>
        <v>143.45449320936805</v>
      </c>
      <c r="DT11" s="380">
        <f t="shared" si="36"/>
        <v>122.96099417945834</v>
      </c>
      <c r="DU11" s="380">
        <f t="shared" si="37"/>
        <v>122.96099417945834</v>
      </c>
      <c r="DV11" s="380">
        <f t="shared" si="38"/>
        <v>122.96099417945834</v>
      </c>
      <c r="DW11" s="380">
        <f t="shared" si="39"/>
        <v>106.56619495553056</v>
      </c>
      <c r="DX11" s="380">
        <f t="shared" si="40"/>
        <v>32.78959844785556</v>
      </c>
      <c r="DY11" s="380">
        <f t="shared" si="71"/>
        <v>1434.5449320936805</v>
      </c>
      <c r="DZ11" s="378">
        <f t="shared" si="41"/>
        <v>4918.4397671783336</v>
      </c>
      <c r="EA11" s="378">
        <f t="shared" si="42"/>
        <v>19673.759068713334</v>
      </c>
      <c r="EB11" s="378">
        <f t="shared" si="43"/>
        <v>3688.8298253837502</v>
      </c>
      <c r="EC11" s="378">
        <f t="shared" si="44"/>
        <v>5656.2057322550836</v>
      </c>
      <c r="ED11" s="378">
        <f t="shared" si="45"/>
        <v>8607.2695925620828</v>
      </c>
      <c r="EE11" s="378">
        <f t="shared" si="46"/>
        <v>3688.8298253837502</v>
      </c>
      <c r="EF11" s="378">
        <f t="shared" si="47"/>
        <v>2459.2198835891668</v>
      </c>
      <c r="EG11" s="378">
        <f t="shared" si="48"/>
        <v>2459.2198835891668</v>
      </c>
      <c r="EH11" s="378">
        <f t="shared" si="49"/>
        <v>3196.9858486659168</v>
      </c>
      <c r="EI11" s="378">
        <f t="shared" si="50"/>
        <v>983.68795343566671</v>
      </c>
      <c r="EJ11" s="354">
        <f t="shared" si="51"/>
        <v>55332.447380756261</v>
      </c>
      <c r="EK11" s="380">
        <f t="shared" si="52"/>
        <v>0</v>
      </c>
      <c r="EL11" s="380">
        <f t="shared" si="53"/>
        <v>0</v>
      </c>
      <c r="EM11" s="380">
        <f t="shared" si="54"/>
        <v>0</v>
      </c>
      <c r="EN11" s="380">
        <f t="shared" si="55"/>
        <v>0</v>
      </c>
      <c r="EO11" s="380">
        <f t="shared" si="56"/>
        <v>0</v>
      </c>
      <c r="EP11" s="380">
        <f t="shared" si="57"/>
        <v>0</v>
      </c>
      <c r="EQ11" s="380">
        <f t="shared" si="58"/>
        <v>0</v>
      </c>
      <c r="ER11" s="380">
        <f t="shared" si="59"/>
        <v>0</v>
      </c>
      <c r="ES11" s="380">
        <f t="shared" si="60"/>
        <v>0</v>
      </c>
      <c r="ET11" s="380">
        <f t="shared" si="61"/>
        <v>0</v>
      </c>
      <c r="EU11" s="379">
        <f t="shared" si="62"/>
        <v>0</v>
      </c>
      <c r="EV11" s="382"/>
      <c r="EW11" s="382"/>
      <c r="EX11" s="382"/>
      <c r="EY11" s="382"/>
      <c r="EZ11" s="382"/>
      <c r="FA11" s="382"/>
      <c r="FB11" s="382"/>
      <c r="FD11" s="582"/>
      <c r="FE11" s="582"/>
      <c r="FF11" s="582"/>
      <c r="FG11" s="582"/>
      <c r="FH11" s="582"/>
      <c r="FI11" s="582"/>
    </row>
    <row r="12" spans="1:165" ht="35" customHeight="1" x14ac:dyDescent="0.3">
      <c r="A12" s="330" t="s">
        <v>1813</v>
      </c>
      <c r="B12" s="318" t="s">
        <v>1098</v>
      </c>
      <c r="C12" s="318" t="s">
        <v>64</v>
      </c>
      <c r="D12" s="318" t="s">
        <v>153</v>
      </c>
      <c r="E12" s="318" t="s">
        <v>8</v>
      </c>
      <c r="F12" s="318" t="s">
        <v>278</v>
      </c>
      <c r="G12" s="318" t="s">
        <v>723</v>
      </c>
      <c r="H12" s="318" t="s">
        <v>991</v>
      </c>
      <c r="I12" s="318" t="s">
        <v>992</v>
      </c>
      <c r="J12" s="318" t="s">
        <v>1045</v>
      </c>
      <c r="K12" s="318" t="s">
        <v>1049</v>
      </c>
      <c r="L12" s="318" t="s">
        <v>1055</v>
      </c>
      <c r="M12" s="318" t="s">
        <v>1062</v>
      </c>
      <c r="N12" s="318" t="s">
        <v>1069</v>
      </c>
      <c r="O12" s="318" t="s">
        <v>117</v>
      </c>
      <c r="P12" s="318" t="s">
        <v>117</v>
      </c>
      <c r="Q12" s="318" t="s">
        <v>953</v>
      </c>
      <c r="R12" s="318" t="s">
        <v>1086</v>
      </c>
      <c r="S12" s="318" t="s">
        <v>1089</v>
      </c>
      <c r="T12" s="318" t="s">
        <v>104</v>
      </c>
      <c r="U12" s="318" t="s">
        <v>104</v>
      </c>
      <c r="V12" s="318" t="s">
        <v>104</v>
      </c>
      <c r="W12" s="318" t="s">
        <v>104</v>
      </c>
      <c r="X12" s="318" t="s">
        <v>102</v>
      </c>
      <c r="Y12" s="318" t="s">
        <v>117</v>
      </c>
      <c r="Z12" s="318" t="s">
        <v>104</v>
      </c>
      <c r="AA12" s="318" t="s">
        <v>104</v>
      </c>
      <c r="AB12" s="318" t="s">
        <v>104</v>
      </c>
      <c r="AC12" s="318" t="s">
        <v>104</v>
      </c>
      <c r="AD12" s="318" t="s">
        <v>1771</v>
      </c>
      <c r="AE12" s="318">
        <v>400</v>
      </c>
      <c r="AF12" s="318">
        <v>60</v>
      </c>
      <c r="AG12" s="318">
        <v>1990</v>
      </c>
      <c r="AH12" s="318" t="s">
        <v>800</v>
      </c>
      <c r="AI12" s="318">
        <f t="shared" si="67"/>
        <v>1990</v>
      </c>
      <c r="AJ12" s="318" t="str">
        <f t="shared" si="66"/>
        <v>Estimated</v>
      </c>
      <c r="AK12" s="318"/>
      <c r="AL12" s="318"/>
      <c r="AM12" s="317">
        <f t="shared" si="6"/>
        <v>268001.24894065567</v>
      </c>
      <c r="AN12" s="318" t="s">
        <v>800</v>
      </c>
      <c r="AO12" s="511">
        <f t="shared" si="7"/>
        <v>202064.43372509754</v>
      </c>
      <c r="AP12" s="511">
        <f t="shared" si="72"/>
        <v>65936.815215558134</v>
      </c>
      <c r="AQ12" s="511">
        <f t="shared" si="8"/>
        <v>2924.6168039158856</v>
      </c>
      <c r="AR12" s="511">
        <f t="shared" si="73"/>
        <v>63012.198411642246</v>
      </c>
      <c r="AS12" s="511">
        <f>HLOOKUP($C$1,'Inflation Adjustments'!$BI$3:$BT$4,2)*CR12</f>
        <v>1253928.3749999998</v>
      </c>
      <c r="AT12" s="511">
        <f>IF(BU12="In Service",'Maintenace Cost Assumptions'!$B$3*AS12,0)</f>
        <v>6269.6418749999993</v>
      </c>
      <c r="AU12" s="318">
        <v>3</v>
      </c>
      <c r="AV12" s="318">
        <v>3</v>
      </c>
      <c r="AW12" s="318">
        <v>3</v>
      </c>
      <c r="AX12" s="318">
        <v>3</v>
      </c>
      <c r="AY12" s="318">
        <v>3</v>
      </c>
      <c r="AZ12" s="318">
        <v>3</v>
      </c>
      <c r="BA12" s="318">
        <v>3</v>
      </c>
      <c r="BB12" s="318"/>
      <c r="BC12" s="318"/>
      <c r="BD12" s="318"/>
      <c r="BE12" s="318">
        <v>2</v>
      </c>
      <c r="BF12" s="318"/>
      <c r="BG12" s="332">
        <f>(AU12*'Condition rating weights'!H$8+AV12*'Condition rating weights'!I$8+AW12*'Condition rating weights'!J$8+AX12*'Condition rating weights'!K$8+AY12*'Condition rating weights'!L$8+AZ12*'Condition rating weights'!M$8+BA12*'Condition rating weights'!N$8+BB12*'Condition rating weights'!O$8+BC12*'Condition rating weights'!P$8+BD12*'Condition rating weights'!Q$8+BE12*'Condition rating weights'!R$8+BF12*'Condition rating weights'!S$8)/100</f>
        <v>0.54</v>
      </c>
      <c r="BH12" s="333">
        <v>1</v>
      </c>
      <c r="BI12" s="333">
        <v>411</v>
      </c>
      <c r="BJ12" s="333" t="s">
        <v>12</v>
      </c>
      <c r="BK12" s="333" t="s">
        <v>959</v>
      </c>
      <c r="BL12" s="333" t="s">
        <v>960</v>
      </c>
      <c r="BM12" s="333" t="s">
        <v>961</v>
      </c>
      <c r="BN12" s="333" t="s">
        <v>117</v>
      </c>
      <c r="BO12" s="333" t="s">
        <v>962</v>
      </c>
      <c r="BP12" s="333" t="s">
        <v>962</v>
      </c>
      <c r="BQ12" s="333" t="s">
        <v>963</v>
      </c>
      <c r="BR12" s="333" t="s">
        <v>964</v>
      </c>
      <c r="BS12" s="333" t="s">
        <v>964</v>
      </c>
      <c r="BT12" s="334" t="s">
        <v>965</v>
      </c>
      <c r="BU12" s="335" t="s">
        <v>1430</v>
      </c>
      <c r="BV12" s="255"/>
      <c r="BY12" s="376" t="str">
        <f>'GRC and TUL Assumptions'!A12</f>
        <v>Services Electrical</v>
      </c>
      <c r="BZ12" s="373">
        <f>'GRC and TUL Assumptions'!C12</f>
        <v>80</v>
      </c>
      <c r="CA12" s="373">
        <f>'GRC and TUL Assumptions'!D12</f>
        <v>100</v>
      </c>
      <c r="CB12" s="373">
        <f>'GRC and TUL Assumptions'!E12</f>
        <v>150</v>
      </c>
      <c r="CC12" s="373">
        <v>0</v>
      </c>
      <c r="CD12" s="373">
        <f>'GRC and TUL Assumptions'!F12</f>
        <v>20</v>
      </c>
      <c r="CE12" s="373">
        <f>'GRC and TUL Assumptions'!G12</f>
        <v>30</v>
      </c>
      <c r="CF12" s="373">
        <f>'GRC and TUL Assumptions'!H12</f>
        <v>40</v>
      </c>
      <c r="CG12" s="373">
        <f t="shared" si="63"/>
        <v>20</v>
      </c>
      <c r="CH12" s="378">
        <f t="shared" si="9"/>
        <v>80000</v>
      </c>
      <c r="CI12" s="378">
        <f t="shared" si="10"/>
        <v>320000</v>
      </c>
      <c r="CJ12" s="378">
        <f t="shared" si="11"/>
        <v>60000</v>
      </c>
      <c r="CK12" s="378">
        <f t="shared" si="12"/>
        <v>92000</v>
      </c>
      <c r="CL12" s="378">
        <f t="shared" si="13"/>
        <v>100000</v>
      </c>
      <c r="CM12" s="378">
        <f t="shared" si="14"/>
        <v>40000</v>
      </c>
      <c r="CN12" s="378">
        <f t="shared" si="15"/>
        <v>40000</v>
      </c>
      <c r="CO12" s="378">
        <f t="shared" si="16"/>
        <v>40000</v>
      </c>
      <c r="CP12" s="378">
        <f t="shared" si="17"/>
        <v>52000</v>
      </c>
      <c r="CQ12" s="378">
        <f t="shared" si="18"/>
        <v>16000</v>
      </c>
      <c r="CR12" s="354">
        <f t="shared" si="70"/>
        <v>840000</v>
      </c>
      <c r="CS12" s="379">
        <f>(HLOOKUP($AI12,'Inflation Adjustments'!$B$3:$BT$4,2,TRUE))*CH12</f>
        <v>25523.928470538634</v>
      </c>
      <c r="CT12" s="379">
        <f>(HLOOKUP($AI12,'Inflation Adjustments'!$B$3:$BT$4,2,TRUE))*CI12</f>
        <v>102095.71388215454</v>
      </c>
      <c r="CU12" s="379">
        <f>(HLOOKUP($AI12,'Inflation Adjustments'!$B$3:$BT$4,2,TRUE))*CJ12</f>
        <v>19142.946352903975</v>
      </c>
      <c r="CV12" s="379">
        <f>(HLOOKUP($AI12,'Inflation Adjustments'!$B$3:$BT$4,2,TRUE))*CK12</f>
        <v>29352.517741119427</v>
      </c>
      <c r="CW12" s="379">
        <f>(HLOOKUP($AI12,'Inflation Adjustments'!$B$3:$BT$4,2,TRUE))*CL12</f>
        <v>31904.91058817329</v>
      </c>
      <c r="CX12" s="379">
        <f>(HLOOKUP($AI12,'Inflation Adjustments'!$B$3:$BT$4,2,TRUE))*CM12</f>
        <v>12761.964235269317</v>
      </c>
      <c r="CY12" s="379">
        <f>(HLOOKUP($AI12,'Inflation Adjustments'!$B$3:$BT$4,2,TRUE))*CN12</f>
        <v>12761.964235269317</v>
      </c>
      <c r="CZ12" s="379">
        <f>(HLOOKUP($AI12,'Inflation Adjustments'!$B$3:$BT$4,2,TRUE))*CO12</f>
        <v>12761.964235269317</v>
      </c>
      <c r="DA12" s="379">
        <f>(HLOOKUP($AI12,'Inflation Adjustments'!$B$3:$BT$4,2,TRUE))*CP12</f>
        <v>16590.553505850112</v>
      </c>
      <c r="DB12" s="379">
        <f>(HLOOKUP($AI12,'Inflation Adjustments'!$B$3:$BT$4,2,TRUE))*CQ12</f>
        <v>5104.7856941077262</v>
      </c>
      <c r="DC12" s="379">
        <f t="shared" si="19"/>
        <v>268001.24894065567</v>
      </c>
      <c r="DD12" s="354">
        <f t="shared" si="20"/>
        <v>32</v>
      </c>
      <c r="DE12" s="378">
        <f t="shared" si="21"/>
        <v>60</v>
      </c>
      <c r="DF12" s="378">
        <f t="shared" si="22"/>
        <v>60</v>
      </c>
      <c r="DG12" s="378">
        <f t="shared" si="23"/>
        <v>20</v>
      </c>
      <c r="DH12" s="378">
        <f t="shared" si="24"/>
        <v>30</v>
      </c>
      <c r="DI12" s="378">
        <f t="shared" si="25"/>
        <v>40</v>
      </c>
      <c r="DJ12" s="378">
        <f t="shared" si="26"/>
        <v>20</v>
      </c>
      <c r="DK12" s="378">
        <f t="shared" si="27"/>
        <v>20</v>
      </c>
      <c r="DL12" s="378">
        <f t="shared" si="28"/>
        <v>20</v>
      </c>
      <c r="DM12" s="378">
        <f t="shared" si="29"/>
        <v>30</v>
      </c>
      <c r="DN12" s="378">
        <f t="shared" si="30"/>
        <v>30</v>
      </c>
      <c r="DO12" s="380">
        <f t="shared" si="31"/>
        <v>425.39880784231059</v>
      </c>
      <c r="DP12" s="380">
        <f t="shared" si="32"/>
        <v>1701.5952313692424</v>
      </c>
      <c r="DQ12" s="380">
        <f t="shared" si="33"/>
        <v>957.14731764519877</v>
      </c>
      <c r="DR12" s="380">
        <f t="shared" si="34"/>
        <v>978.41725803731424</v>
      </c>
      <c r="DS12" s="380">
        <f t="shared" si="35"/>
        <v>797.62276470433221</v>
      </c>
      <c r="DT12" s="380">
        <f t="shared" si="36"/>
        <v>638.09821176346588</v>
      </c>
      <c r="DU12" s="380">
        <f t="shared" si="37"/>
        <v>638.09821176346588</v>
      </c>
      <c r="DV12" s="380">
        <f t="shared" si="38"/>
        <v>638.09821176346588</v>
      </c>
      <c r="DW12" s="380">
        <f t="shared" si="39"/>
        <v>553.01845019500377</v>
      </c>
      <c r="DX12" s="380">
        <f t="shared" si="40"/>
        <v>170.15952313692421</v>
      </c>
      <c r="DY12" s="380">
        <f t="shared" si="71"/>
        <v>7497.6539882207226</v>
      </c>
      <c r="DZ12" s="378">
        <f t="shared" si="41"/>
        <v>13612.761850953939</v>
      </c>
      <c r="EA12" s="378">
        <f t="shared" si="42"/>
        <v>54451.047403815755</v>
      </c>
      <c r="EB12" s="378">
        <f t="shared" si="43"/>
        <v>19142.946352903975</v>
      </c>
      <c r="EC12" s="378">
        <f t="shared" si="44"/>
        <v>29352.517741119427</v>
      </c>
      <c r="ED12" s="378">
        <f t="shared" si="45"/>
        <v>25523.928470538631</v>
      </c>
      <c r="EE12" s="378">
        <f t="shared" si="46"/>
        <v>12761.964235269317</v>
      </c>
      <c r="EF12" s="378">
        <f t="shared" si="47"/>
        <v>12761.964235269317</v>
      </c>
      <c r="EG12" s="378">
        <f t="shared" si="48"/>
        <v>12761.964235269317</v>
      </c>
      <c r="EH12" s="378">
        <f t="shared" si="49"/>
        <v>16590.553505850112</v>
      </c>
      <c r="EI12" s="378">
        <f t="shared" si="50"/>
        <v>5104.7856941077262</v>
      </c>
      <c r="EJ12" s="354">
        <f t="shared" si="51"/>
        <v>202064.43372509754</v>
      </c>
      <c r="EK12" s="380">
        <f t="shared" si="52"/>
        <v>425.39880784231059</v>
      </c>
      <c r="EL12" s="380">
        <f t="shared" si="53"/>
        <v>1701.5952313692424</v>
      </c>
      <c r="EM12" s="380">
        <f t="shared" si="54"/>
        <v>0</v>
      </c>
      <c r="EN12" s="380">
        <f t="shared" si="55"/>
        <v>0</v>
      </c>
      <c r="EO12" s="380">
        <f t="shared" si="56"/>
        <v>797.62276470433221</v>
      </c>
      <c r="EP12" s="380">
        <f t="shared" si="57"/>
        <v>0</v>
      </c>
      <c r="EQ12" s="380">
        <f t="shared" si="58"/>
        <v>0</v>
      </c>
      <c r="ER12" s="380">
        <f t="shared" si="59"/>
        <v>0</v>
      </c>
      <c r="ES12" s="380">
        <f t="shared" si="60"/>
        <v>0</v>
      </c>
      <c r="ET12" s="380">
        <f t="shared" si="61"/>
        <v>0</v>
      </c>
      <c r="EU12" s="379">
        <f t="shared" si="62"/>
        <v>2924.6168039158856</v>
      </c>
      <c r="EV12" s="382"/>
      <c r="EW12" s="382"/>
      <c r="EX12" s="382"/>
      <c r="EY12" s="382"/>
      <c r="EZ12" s="382"/>
      <c r="FA12" s="382"/>
      <c r="FB12" s="382"/>
      <c r="FE12" s="582"/>
      <c r="FF12" s="582"/>
      <c r="FG12" s="582"/>
      <c r="FH12" s="582"/>
    </row>
    <row r="13" spans="1:165" ht="35" customHeight="1" x14ac:dyDescent="0.3">
      <c r="A13" s="330" t="s">
        <v>1814</v>
      </c>
      <c r="B13" s="318" t="s">
        <v>1099</v>
      </c>
      <c r="C13" s="318" t="s">
        <v>64</v>
      </c>
      <c r="D13" s="318" t="s">
        <v>79</v>
      </c>
      <c r="E13" s="318" t="s">
        <v>8</v>
      </c>
      <c r="F13" s="318" t="s">
        <v>271</v>
      </c>
      <c r="G13" s="318" t="s">
        <v>723</v>
      </c>
      <c r="H13" s="318" t="s">
        <v>993</v>
      </c>
      <c r="I13" s="318" t="s">
        <v>994</v>
      </c>
      <c r="J13" s="318" t="s">
        <v>1045</v>
      </c>
      <c r="K13" s="318" t="s">
        <v>1047</v>
      </c>
      <c r="L13" s="318" t="s">
        <v>1055</v>
      </c>
      <c r="M13" s="318" t="s">
        <v>1062</v>
      </c>
      <c r="N13" s="318" t="s">
        <v>117</v>
      </c>
      <c r="O13" s="318" t="s">
        <v>117</v>
      </c>
      <c r="P13" s="318" t="s">
        <v>117</v>
      </c>
      <c r="Q13" s="318" t="s">
        <v>953</v>
      </c>
      <c r="R13" s="318" t="s">
        <v>1086</v>
      </c>
      <c r="S13" s="318" t="s">
        <v>1089</v>
      </c>
      <c r="T13" s="318" t="s">
        <v>104</v>
      </c>
      <c r="U13" s="318" t="s">
        <v>104</v>
      </c>
      <c r="V13" s="318" t="s">
        <v>104</v>
      </c>
      <c r="W13" s="318" t="s">
        <v>104</v>
      </c>
      <c r="X13" s="318" t="s">
        <v>117</v>
      </c>
      <c r="Y13" s="318" t="s">
        <v>117</v>
      </c>
      <c r="Z13" s="318" t="s">
        <v>117</v>
      </c>
      <c r="AA13" s="318" t="s">
        <v>102</v>
      </c>
      <c r="AB13" s="318" t="s">
        <v>104</v>
      </c>
      <c r="AC13" s="318" t="s">
        <v>104</v>
      </c>
      <c r="AD13" s="318" t="s">
        <v>1771</v>
      </c>
      <c r="AE13" s="318">
        <v>510</v>
      </c>
      <c r="AF13" s="318">
        <v>60</v>
      </c>
      <c r="AG13" s="318">
        <v>1990</v>
      </c>
      <c r="AH13" s="318" t="s">
        <v>800</v>
      </c>
      <c r="AI13" s="318">
        <f t="shared" si="67"/>
        <v>1990</v>
      </c>
      <c r="AJ13" s="318" t="str">
        <f t="shared" si="66"/>
        <v>Estimated</v>
      </c>
      <c r="AK13" s="318"/>
      <c r="AL13" s="318"/>
      <c r="AM13" s="317">
        <f t="shared" si="6"/>
        <v>322175.78711937385</v>
      </c>
      <c r="AN13" s="318" t="s">
        <v>800</v>
      </c>
      <c r="AO13" s="511">
        <f t="shared" si="7"/>
        <v>238106.3477195373</v>
      </c>
      <c r="AP13" s="511">
        <f t="shared" si="72"/>
        <v>84069.439399836556</v>
      </c>
      <c r="AQ13" s="511">
        <f t="shared" si="8"/>
        <v>3728.8864249927533</v>
      </c>
      <c r="AR13" s="511">
        <f t="shared" si="73"/>
        <v>80340.552974843798</v>
      </c>
      <c r="AS13" s="511">
        <f>HLOOKUP($C$1,'Inflation Adjustments'!$BI$3:$BT$4,2)*CR13</f>
        <v>1507401.0393749999</v>
      </c>
      <c r="AT13" s="511">
        <f>IF(BU13="In Service",'Maintenace Cost Assumptions'!$B$3*AS13,0)</f>
        <v>7537.0051968749995</v>
      </c>
      <c r="AU13" s="318">
        <v>3</v>
      </c>
      <c r="AV13" s="318">
        <v>3</v>
      </c>
      <c r="AW13" s="318">
        <v>2</v>
      </c>
      <c r="AX13" s="318">
        <v>3</v>
      </c>
      <c r="AY13" s="318">
        <v>3</v>
      </c>
      <c r="AZ13" s="318">
        <v>3</v>
      </c>
      <c r="BA13" s="318">
        <v>3</v>
      </c>
      <c r="BB13" s="318"/>
      <c r="BC13" s="318"/>
      <c r="BD13" s="318"/>
      <c r="BE13" s="318">
        <v>3</v>
      </c>
      <c r="BF13" s="318"/>
      <c r="BG13" s="332">
        <f>(AU13*'Condition rating weights'!H$8+AV13*'Condition rating weights'!I$8+AW13*'Condition rating weights'!J$8+AX13*'Condition rating weights'!K$8+AY13*'Condition rating weights'!L$8+AZ13*'Condition rating weights'!M$8+BA13*'Condition rating weights'!N$8+BB13*'Condition rating weights'!O$8+BC13*'Condition rating weights'!P$8+BD13*'Condition rating weights'!Q$8+BE13*'Condition rating weights'!R$8+BF13*'Condition rating weights'!S$8)/100</f>
        <v>0.59</v>
      </c>
      <c r="BH13" s="333">
        <v>1</v>
      </c>
      <c r="BI13" s="333">
        <v>111</v>
      </c>
      <c r="BJ13" s="333" t="s">
        <v>12</v>
      </c>
      <c r="BK13" s="333" t="s">
        <v>959</v>
      </c>
      <c r="BL13" s="333" t="s">
        <v>960</v>
      </c>
      <c r="BM13" s="333" t="s">
        <v>961</v>
      </c>
      <c r="BN13" s="333" t="s">
        <v>117</v>
      </c>
      <c r="BO13" s="333" t="s">
        <v>962</v>
      </c>
      <c r="BP13" s="333" t="s">
        <v>962</v>
      </c>
      <c r="BQ13" s="333" t="s">
        <v>963</v>
      </c>
      <c r="BR13" s="333" t="s">
        <v>964</v>
      </c>
      <c r="BS13" s="333" t="s">
        <v>964</v>
      </c>
      <c r="BT13" s="334" t="s">
        <v>965</v>
      </c>
      <c r="BU13" s="335" t="s">
        <v>1430</v>
      </c>
      <c r="BV13" s="255"/>
      <c r="BY13" s="376" t="str">
        <f>'GRC and TUL Assumptions'!A13</f>
        <v>Services Sanitation</v>
      </c>
      <c r="BZ13" s="373">
        <f>'GRC and TUL Assumptions'!C13</f>
        <v>100</v>
      </c>
      <c r="CA13" s="373">
        <f>'GRC and TUL Assumptions'!D13</f>
        <v>130</v>
      </c>
      <c r="CB13" s="373">
        <f>'GRC and TUL Assumptions'!E13</f>
        <v>150</v>
      </c>
      <c r="CC13" s="373">
        <v>0</v>
      </c>
      <c r="CD13" s="373">
        <f>'GRC and TUL Assumptions'!F13</f>
        <v>20</v>
      </c>
      <c r="CE13" s="373">
        <f>'GRC and TUL Assumptions'!G13</f>
        <v>30</v>
      </c>
      <c r="CF13" s="373">
        <f>'GRC and TUL Assumptions'!H13</f>
        <v>40</v>
      </c>
      <c r="CG13" s="373">
        <f t="shared" si="63"/>
        <v>20</v>
      </c>
      <c r="CH13" s="378">
        <f t="shared" si="9"/>
        <v>102000</v>
      </c>
      <c r="CI13" s="378">
        <f t="shared" si="10"/>
        <v>408000</v>
      </c>
      <c r="CJ13" s="378">
        <f t="shared" si="11"/>
        <v>76500</v>
      </c>
      <c r="CK13" s="378">
        <f t="shared" si="12"/>
        <v>117300</v>
      </c>
      <c r="CL13" s="378">
        <f t="shared" si="13"/>
        <v>127500</v>
      </c>
      <c r="CM13" s="378">
        <f t="shared" si="14"/>
        <v>51000</v>
      </c>
      <c r="CN13" s="378">
        <f t="shared" si="15"/>
        <v>0</v>
      </c>
      <c r="CO13" s="378">
        <f t="shared" si="16"/>
        <v>40800</v>
      </c>
      <c r="CP13" s="378">
        <f t="shared" si="17"/>
        <v>66300</v>
      </c>
      <c r="CQ13" s="378">
        <f t="shared" si="18"/>
        <v>20400</v>
      </c>
      <c r="CR13" s="354">
        <f t="shared" si="70"/>
        <v>1009800</v>
      </c>
      <c r="CS13" s="379">
        <f>(HLOOKUP($AI13,'Inflation Adjustments'!$B$3:$BT$4,2,TRUE))*CH13</f>
        <v>32543.008799936757</v>
      </c>
      <c r="CT13" s="379">
        <f>(HLOOKUP($AI13,'Inflation Adjustments'!$B$3:$BT$4,2,TRUE))*CI13</f>
        <v>130172.03519974703</v>
      </c>
      <c r="CU13" s="379">
        <f>(HLOOKUP($AI13,'Inflation Adjustments'!$B$3:$BT$4,2,TRUE))*CJ13</f>
        <v>24407.256599952569</v>
      </c>
      <c r="CV13" s="379">
        <f>(HLOOKUP($AI13,'Inflation Adjustments'!$B$3:$BT$4,2,TRUE))*CK13</f>
        <v>37424.460119927273</v>
      </c>
      <c r="CW13" s="379">
        <f>(HLOOKUP($AI13,'Inflation Adjustments'!$B$3:$BT$4,2,TRUE))*CL13</f>
        <v>40678.760999920945</v>
      </c>
      <c r="CX13" s="379">
        <f>(HLOOKUP($AI13,'Inflation Adjustments'!$B$3:$BT$4,2,TRUE))*CM13</f>
        <v>16271.504399968378</v>
      </c>
      <c r="CY13" s="379">
        <f>(HLOOKUP($AI13,'Inflation Adjustments'!$B$3:$BT$4,2,TRUE))*CN13</f>
        <v>0</v>
      </c>
      <c r="CZ13" s="379">
        <f>(HLOOKUP($AI13,'Inflation Adjustments'!$B$3:$BT$4,2,TRUE))*CO13</f>
        <v>13017.203519974702</v>
      </c>
      <c r="DA13" s="379">
        <f>(HLOOKUP($AI13,'Inflation Adjustments'!$B$3:$BT$4,2,TRUE))*CP13</f>
        <v>21152.955719958893</v>
      </c>
      <c r="DB13" s="379">
        <f>(HLOOKUP($AI13,'Inflation Adjustments'!$B$3:$BT$4,2,TRUE))*CQ13</f>
        <v>6508.6017599873512</v>
      </c>
      <c r="DC13" s="379">
        <f t="shared" si="19"/>
        <v>322175.78711937385</v>
      </c>
      <c r="DD13" s="354">
        <f t="shared" si="20"/>
        <v>32</v>
      </c>
      <c r="DE13" s="378">
        <f t="shared" si="21"/>
        <v>60</v>
      </c>
      <c r="DF13" s="378">
        <f t="shared" si="22"/>
        <v>60</v>
      </c>
      <c r="DG13" s="378">
        <f t="shared" si="23"/>
        <v>20</v>
      </c>
      <c r="DH13" s="378">
        <f t="shared" si="24"/>
        <v>30</v>
      </c>
      <c r="DI13" s="378">
        <f t="shared" si="25"/>
        <v>40</v>
      </c>
      <c r="DJ13" s="378">
        <f t="shared" si="26"/>
        <v>20</v>
      </c>
      <c r="DK13" s="378">
        <f t="shared" si="27"/>
        <v>10</v>
      </c>
      <c r="DL13" s="378">
        <f t="shared" si="28"/>
        <v>10</v>
      </c>
      <c r="DM13" s="378">
        <f t="shared" si="29"/>
        <v>30</v>
      </c>
      <c r="DN13" s="378">
        <f t="shared" si="30"/>
        <v>30</v>
      </c>
      <c r="DO13" s="380">
        <f t="shared" si="31"/>
        <v>542.38347999894597</v>
      </c>
      <c r="DP13" s="380">
        <f t="shared" si="32"/>
        <v>2169.5339199957839</v>
      </c>
      <c r="DQ13" s="380">
        <f t="shared" si="33"/>
        <v>1220.3628299976285</v>
      </c>
      <c r="DR13" s="380">
        <f t="shared" si="34"/>
        <v>1247.4820039975757</v>
      </c>
      <c r="DS13" s="380">
        <f t="shared" si="35"/>
        <v>1016.9690249980237</v>
      </c>
      <c r="DT13" s="380">
        <f t="shared" si="36"/>
        <v>813.5752199984189</v>
      </c>
      <c r="DU13" s="380">
        <f t="shared" si="37"/>
        <v>0</v>
      </c>
      <c r="DV13" s="380">
        <f t="shared" si="38"/>
        <v>1301.7203519974703</v>
      </c>
      <c r="DW13" s="380">
        <f t="shared" si="39"/>
        <v>705.09852399862973</v>
      </c>
      <c r="DX13" s="380">
        <f t="shared" si="40"/>
        <v>216.95339199957837</v>
      </c>
      <c r="DY13" s="380">
        <f t="shared" si="71"/>
        <v>9234.0787469820552</v>
      </c>
      <c r="DZ13" s="378">
        <f t="shared" si="41"/>
        <v>17356.271359966271</v>
      </c>
      <c r="EA13" s="378">
        <f t="shared" si="42"/>
        <v>69425.085439865084</v>
      </c>
      <c r="EB13" s="378">
        <f t="shared" si="43"/>
        <v>24407.256599952569</v>
      </c>
      <c r="EC13" s="378">
        <f t="shared" si="44"/>
        <v>37424.460119927273</v>
      </c>
      <c r="ED13" s="378">
        <f t="shared" si="45"/>
        <v>32543.008799936757</v>
      </c>
      <c r="EE13" s="378">
        <f t="shared" si="46"/>
        <v>16271.504399968378</v>
      </c>
      <c r="EF13" s="378">
        <f t="shared" si="47"/>
        <v>0</v>
      </c>
      <c r="EG13" s="378">
        <f t="shared" si="48"/>
        <v>13017.203519974702</v>
      </c>
      <c r="EH13" s="378">
        <f t="shared" si="49"/>
        <v>21152.955719958893</v>
      </c>
      <c r="EI13" s="378">
        <f t="shared" si="50"/>
        <v>6508.6017599873512</v>
      </c>
      <c r="EJ13" s="354">
        <f t="shared" si="51"/>
        <v>238106.3477195373</v>
      </c>
      <c r="EK13" s="380">
        <f t="shared" si="52"/>
        <v>542.38347999894597</v>
      </c>
      <c r="EL13" s="380">
        <f t="shared" si="53"/>
        <v>2169.5339199957839</v>
      </c>
      <c r="EM13" s="380">
        <f t="shared" si="54"/>
        <v>0</v>
      </c>
      <c r="EN13" s="380">
        <f t="shared" si="55"/>
        <v>0</v>
      </c>
      <c r="EO13" s="380">
        <f t="shared" si="56"/>
        <v>1016.9690249980237</v>
      </c>
      <c r="EP13" s="380">
        <f t="shared" si="57"/>
        <v>0</v>
      </c>
      <c r="EQ13" s="380">
        <f t="shared" si="58"/>
        <v>0</v>
      </c>
      <c r="ER13" s="380">
        <f t="shared" si="59"/>
        <v>0</v>
      </c>
      <c r="ES13" s="380">
        <f t="shared" si="60"/>
        <v>0</v>
      </c>
      <c r="ET13" s="380">
        <f t="shared" si="61"/>
        <v>0</v>
      </c>
      <c r="EU13" s="379">
        <f t="shared" si="62"/>
        <v>3728.8864249927533</v>
      </c>
      <c r="EV13" s="382"/>
      <c r="EW13" s="382"/>
      <c r="EX13" s="382"/>
      <c r="EY13" s="382"/>
      <c r="EZ13" s="382"/>
      <c r="FA13" s="382"/>
      <c r="FB13" s="382"/>
    </row>
    <row r="14" spans="1:165" ht="35" customHeight="1" x14ac:dyDescent="0.3">
      <c r="A14" s="330" t="s">
        <v>1815</v>
      </c>
      <c r="B14" s="318" t="s">
        <v>1379</v>
      </c>
      <c r="C14" s="318" t="s">
        <v>64</v>
      </c>
      <c r="D14" s="318" t="s">
        <v>79</v>
      </c>
      <c r="E14" s="318" t="s">
        <v>8</v>
      </c>
      <c r="F14" s="318" t="s">
        <v>998</v>
      </c>
      <c r="G14" s="318" t="s">
        <v>723</v>
      </c>
      <c r="H14" s="318" t="s">
        <v>993</v>
      </c>
      <c r="I14" s="318" t="s">
        <v>994</v>
      </c>
      <c r="J14" s="318" t="s">
        <v>1045</v>
      </c>
      <c r="K14" s="318" t="s">
        <v>1047</v>
      </c>
      <c r="L14" s="318" t="s">
        <v>1055</v>
      </c>
      <c r="M14" s="318" t="s">
        <v>1062</v>
      </c>
      <c r="N14" s="318" t="s">
        <v>1069</v>
      </c>
      <c r="O14" s="318" t="s">
        <v>1371</v>
      </c>
      <c r="P14" s="318" t="s">
        <v>1078</v>
      </c>
      <c r="Q14" s="318" t="s">
        <v>953</v>
      </c>
      <c r="R14" s="318" t="s">
        <v>1086</v>
      </c>
      <c r="S14" s="318" t="s">
        <v>1089</v>
      </c>
      <c r="T14" s="318" t="s">
        <v>104</v>
      </c>
      <c r="U14" s="318" t="s">
        <v>104</v>
      </c>
      <c r="V14" s="318" t="s">
        <v>104</v>
      </c>
      <c r="W14" s="318" t="s">
        <v>104</v>
      </c>
      <c r="X14" s="318" t="s">
        <v>104</v>
      </c>
      <c r="Y14" s="318" t="s">
        <v>104</v>
      </c>
      <c r="Z14" s="318" t="s">
        <v>104</v>
      </c>
      <c r="AA14" s="318" t="s">
        <v>104</v>
      </c>
      <c r="AB14" s="318" t="s">
        <v>104</v>
      </c>
      <c r="AC14" s="318" t="s">
        <v>104</v>
      </c>
      <c r="AD14" s="318" t="s">
        <v>1771</v>
      </c>
      <c r="AE14" s="318">
        <v>85</v>
      </c>
      <c r="AF14" s="318">
        <v>60</v>
      </c>
      <c r="AG14" s="318">
        <v>1990</v>
      </c>
      <c r="AH14" s="318" t="s">
        <v>800</v>
      </c>
      <c r="AI14" s="318">
        <f t="shared" si="67"/>
        <v>1990</v>
      </c>
      <c r="AJ14" s="318" t="str">
        <f t="shared" si="66"/>
        <v>Estimated</v>
      </c>
      <c r="AK14" s="318"/>
      <c r="AL14" s="318"/>
      <c r="AM14" s="317">
        <f t="shared" si="6"/>
        <v>61018.141499881422</v>
      </c>
      <c r="AN14" s="318" t="s">
        <v>800</v>
      </c>
      <c r="AO14" s="511">
        <f t="shared" si="7"/>
        <v>43933.061879914625</v>
      </c>
      <c r="AP14" s="511">
        <f t="shared" si="72"/>
        <v>17085.079619966797</v>
      </c>
      <c r="AQ14" s="511">
        <f t="shared" si="8"/>
        <v>610.18141499881415</v>
      </c>
      <c r="AR14" s="511">
        <f t="shared" si="73"/>
        <v>16474.898204967983</v>
      </c>
      <c r="AS14" s="511">
        <f>HLOOKUP($C$1,'Inflation Adjustments'!$BI$3:$BT$4,2)*CR14</f>
        <v>285492.62109375</v>
      </c>
      <c r="AT14" s="511">
        <f>IF(BU14="In Service",'Maintenace Cost Assumptions'!$B$3*AS14,0)</f>
        <v>1427.46310546875</v>
      </c>
      <c r="AU14" s="318">
        <v>3</v>
      </c>
      <c r="AV14" s="318">
        <v>3</v>
      </c>
      <c r="AW14" s="318">
        <v>3</v>
      </c>
      <c r="AX14" s="318">
        <v>3</v>
      </c>
      <c r="AY14" s="318">
        <v>3</v>
      </c>
      <c r="AZ14" s="318">
        <v>3</v>
      </c>
      <c r="BA14" s="318">
        <v>3</v>
      </c>
      <c r="BB14" s="318"/>
      <c r="BC14" s="318"/>
      <c r="BD14" s="318"/>
      <c r="BE14" s="318">
        <v>3</v>
      </c>
      <c r="BF14" s="318"/>
      <c r="BG14" s="332">
        <f>(AU14*'Condition rating weights'!H$8+AV14*'Condition rating weights'!I$8+AW14*'Condition rating weights'!J$8+AX14*'Condition rating weights'!K$8+AY14*'Condition rating weights'!L$8+AZ14*'Condition rating weights'!M$8+BA14*'Condition rating weights'!N$8+BB14*'Condition rating weights'!O$8+BC14*'Condition rating weights'!P$8+BD14*'Condition rating weights'!Q$8+BE14*'Condition rating weights'!R$8+BF14*'Condition rating weights'!S$8)/100</f>
        <v>0.6</v>
      </c>
      <c r="BH14" s="333">
        <v>1</v>
      </c>
      <c r="BI14" s="333">
        <v>111</v>
      </c>
      <c r="BJ14" s="333" t="s">
        <v>12</v>
      </c>
      <c r="BK14" s="333" t="s">
        <v>959</v>
      </c>
      <c r="BL14" s="333" t="s">
        <v>960</v>
      </c>
      <c r="BM14" s="333" t="s">
        <v>961</v>
      </c>
      <c r="BN14" s="333" t="s">
        <v>117</v>
      </c>
      <c r="BO14" s="333" t="s">
        <v>962</v>
      </c>
      <c r="BP14" s="333" t="s">
        <v>962</v>
      </c>
      <c r="BQ14" s="333" t="s">
        <v>978</v>
      </c>
      <c r="BR14" s="333" t="s">
        <v>964</v>
      </c>
      <c r="BS14" s="333" t="s">
        <v>964</v>
      </c>
      <c r="BT14" s="334" t="s">
        <v>965</v>
      </c>
      <c r="BU14" s="335" t="s">
        <v>1430</v>
      </c>
      <c r="BV14" s="255"/>
      <c r="BY14" s="376" t="str">
        <f>'GRC and TUL Assumptions'!A14</f>
        <v>Services Water</v>
      </c>
      <c r="BZ14" s="373">
        <f>'GRC and TUL Assumptions'!C14</f>
        <v>20</v>
      </c>
      <c r="CA14" s="373">
        <f>'GRC and TUL Assumptions'!D14</f>
        <v>40</v>
      </c>
      <c r="CB14" s="373">
        <f>'GRC and TUL Assumptions'!E14</f>
        <v>70</v>
      </c>
      <c r="CC14" s="373">
        <v>0</v>
      </c>
      <c r="CD14" s="373">
        <f>'GRC and TUL Assumptions'!F14</f>
        <v>20</v>
      </c>
      <c r="CE14" s="373">
        <f>'GRC and TUL Assumptions'!G14</f>
        <v>30</v>
      </c>
      <c r="CF14" s="373">
        <f>'GRC and TUL Assumptions'!H14</f>
        <v>40</v>
      </c>
      <c r="CG14" s="373">
        <f t="shared" si="63"/>
        <v>20</v>
      </c>
      <c r="CH14" s="378">
        <f t="shared" si="9"/>
        <v>17000</v>
      </c>
      <c r="CI14" s="378">
        <f t="shared" si="10"/>
        <v>68000</v>
      </c>
      <c r="CJ14" s="378">
        <f t="shared" si="11"/>
        <v>12750</v>
      </c>
      <c r="CK14" s="378">
        <f t="shared" si="12"/>
        <v>19550</v>
      </c>
      <c r="CL14" s="378">
        <f t="shared" si="13"/>
        <v>29750</v>
      </c>
      <c r="CM14" s="378">
        <f t="shared" si="14"/>
        <v>12750</v>
      </c>
      <c r="CN14" s="378">
        <f t="shared" si="15"/>
        <v>8500</v>
      </c>
      <c r="CO14" s="378">
        <f t="shared" si="16"/>
        <v>8500</v>
      </c>
      <c r="CP14" s="378">
        <f t="shared" si="17"/>
        <v>11050</v>
      </c>
      <c r="CQ14" s="378">
        <f t="shared" si="18"/>
        <v>3400</v>
      </c>
      <c r="CR14" s="354">
        <f t="shared" si="70"/>
        <v>191250</v>
      </c>
      <c r="CS14" s="379">
        <f>(HLOOKUP($AI14,'Inflation Adjustments'!$B$3:$BT$4,2,TRUE))*CH14</f>
        <v>5423.8347999894595</v>
      </c>
      <c r="CT14" s="379">
        <f>(HLOOKUP($AI14,'Inflation Adjustments'!$B$3:$BT$4,2,TRUE))*CI14</f>
        <v>21695.339199957838</v>
      </c>
      <c r="CU14" s="379">
        <f>(HLOOKUP($AI14,'Inflation Adjustments'!$B$3:$BT$4,2,TRUE))*CJ14</f>
        <v>4067.8760999920946</v>
      </c>
      <c r="CV14" s="379">
        <f>(HLOOKUP($AI14,'Inflation Adjustments'!$B$3:$BT$4,2,TRUE))*CK14</f>
        <v>6237.4100199878785</v>
      </c>
      <c r="CW14" s="379">
        <f>(HLOOKUP($AI14,'Inflation Adjustments'!$B$3:$BT$4,2,TRUE))*CL14</f>
        <v>9491.7108999815537</v>
      </c>
      <c r="CX14" s="379">
        <f>(HLOOKUP($AI14,'Inflation Adjustments'!$B$3:$BT$4,2,TRUE))*CM14</f>
        <v>4067.8760999920946</v>
      </c>
      <c r="CY14" s="379">
        <f>(HLOOKUP($AI14,'Inflation Adjustments'!$B$3:$BT$4,2,TRUE))*CN14</f>
        <v>2711.9173999947297</v>
      </c>
      <c r="CZ14" s="379">
        <f>(HLOOKUP($AI14,'Inflation Adjustments'!$B$3:$BT$4,2,TRUE))*CO14</f>
        <v>2711.9173999947297</v>
      </c>
      <c r="DA14" s="379">
        <f>(HLOOKUP($AI14,'Inflation Adjustments'!$B$3:$BT$4,2,TRUE))*CP14</f>
        <v>3525.4926199931488</v>
      </c>
      <c r="DB14" s="379">
        <f>(HLOOKUP($AI14,'Inflation Adjustments'!$B$3:$BT$4,2,TRUE))*CQ14</f>
        <v>1084.7669599978919</v>
      </c>
      <c r="DC14" s="379">
        <f t="shared" si="19"/>
        <v>61018.141499881422</v>
      </c>
      <c r="DD14" s="354">
        <f t="shared" si="20"/>
        <v>32</v>
      </c>
      <c r="DE14" s="378">
        <f t="shared" si="21"/>
        <v>60</v>
      </c>
      <c r="DF14" s="378">
        <f t="shared" si="22"/>
        <v>60</v>
      </c>
      <c r="DG14" s="378">
        <f t="shared" si="23"/>
        <v>20</v>
      </c>
      <c r="DH14" s="378">
        <f t="shared" si="24"/>
        <v>30</v>
      </c>
      <c r="DI14" s="378">
        <f t="shared" si="25"/>
        <v>60</v>
      </c>
      <c r="DJ14" s="378">
        <f t="shared" si="26"/>
        <v>30</v>
      </c>
      <c r="DK14" s="378">
        <f t="shared" si="27"/>
        <v>20</v>
      </c>
      <c r="DL14" s="378">
        <f t="shared" si="28"/>
        <v>20</v>
      </c>
      <c r="DM14" s="378">
        <f t="shared" si="29"/>
        <v>30</v>
      </c>
      <c r="DN14" s="378">
        <f t="shared" si="30"/>
        <v>30</v>
      </c>
      <c r="DO14" s="380">
        <f t="shared" si="31"/>
        <v>90.397246666490986</v>
      </c>
      <c r="DP14" s="380">
        <f t="shared" si="32"/>
        <v>361.58898666596394</v>
      </c>
      <c r="DQ14" s="380">
        <f t="shared" si="33"/>
        <v>203.39380499960473</v>
      </c>
      <c r="DR14" s="380">
        <f t="shared" si="34"/>
        <v>207.91366733292929</v>
      </c>
      <c r="DS14" s="380">
        <f t="shared" si="35"/>
        <v>158.19518166635922</v>
      </c>
      <c r="DT14" s="380">
        <f t="shared" si="36"/>
        <v>135.59586999973649</v>
      </c>
      <c r="DU14" s="380">
        <f t="shared" si="37"/>
        <v>135.59586999973649</v>
      </c>
      <c r="DV14" s="380">
        <f t="shared" si="38"/>
        <v>135.59586999973649</v>
      </c>
      <c r="DW14" s="380">
        <f t="shared" si="39"/>
        <v>117.51642066643829</v>
      </c>
      <c r="DX14" s="380">
        <f t="shared" si="40"/>
        <v>36.1588986665964</v>
      </c>
      <c r="DY14" s="380">
        <f t="shared" si="71"/>
        <v>1581.9518166635926</v>
      </c>
      <c r="DZ14" s="378">
        <f t="shared" si="41"/>
        <v>2892.7118933277116</v>
      </c>
      <c r="EA14" s="378">
        <f t="shared" si="42"/>
        <v>11570.847573310846</v>
      </c>
      <c r="EB14" s="378">
        <f t="shared" si="43"/>
        <v>4067.8760999920946</v>
      </c>
      <c r="EC14" s="378">
        <f t="shared" si="44"/>
        <v>6237.4100199878785</v>
      </c>
      <c r="ED14" s="378">
        <f t="shared" si="45"/>
        <v>5062.245813323495</v>
      </c>
      <c r="EE14" s="378">
        <f t="shared" si="46"/>
        <v>4067.8760999920946</v>
      </c>
      <c r="EF14" s="378">
        <f t="shared" si="47"/>
        <v>2711.9173999947297</v>
      </c>
      <c r="EG14" s="378">
        <f t="shared" si="48"/>
        <v>2711.9173999947297</v>
      </c>
      <c r="EH14" s="378">
        <f t="shared" si="49"/>
        <v>3525.4926199931488</v>
      </c>
      <c r="EI14" s="378">
        <f t="shared" si="50"/>
        <v>1084.7669599978919</v>
      </c>
      <c r="EJ14" s="354">
        <f t="shared" si="51"/>
        <v>43933.061879914625</v>
      </c>
      <c r="EK14" s="380">
        <f t="shared" si="52"/>
        <v>90.397246666490986</v>
      </c>
      <c r="EL14" s="380">
        <f t="shared" si="53"/>
        <v>361.58898666596394</v>
      </c>
      <c r="EM14" s="380">
        <f t="shared" si="54"/>
        <v>0</v>
      </c>
      <c r="EN14" s="380">
        <f t="shared" si="55"/>
        <v>0</v>
      </c>
      <c r="EO14" s="380">
        <f t="shared" si="56"/>
        <v>158.19518166635922</v>
      </c>
      <c r="EP14" s="380">
        <f t="shared" si="57"/>
        <v>0</v>
      </c>
      <c r="EQ14" s="380">
        <f t="shared" si="58"/>
        <v>0</v>
      </c>
      <c r="ER14" s="380">
        <f t="shared" si="59"/>
        <v>0</v>
      </c>
      <c r="ES14" s="380">
        <f t="shared" si="60"/>
        <v>0</v>
      </c>
      <c r="ET14" s="380">
        <f t="shared" si="61"/>
        <v>0</v>
      </c>
      <c r="EU14" s="379">
        <f t="shared" si="62"/>
        <v>610.18141499881415</v>
      </c>
      <c r="EV14" s="382"/>
      <c r="EW14" s="382"/>
      <c r="EX14" s="382"/>
      <c r="EY14" s="382"/>
      <c r="EZ14" s="382"/>
      <c r="FA14" s="382"/>
      <c r="FB14" s="382"/>
      <c r="FI14" s="91" t="s">
        <v>1654</v>
      </c>
    </row>
    <row r="15" spans="1:165" ht="35" customHeight="1" x14ac:dyDescent="0.3">
      <c r="A15" s="330" t="s">
        <v>1816</v>
      </c>
      <c r="B15" s="318" t="s">
        <v>1380</v>
      </c>
      <c r="C15" s="318" t="s">
        <v>988</v>
      </c>
      <c r="D15" s="318" t="s">
        <v>79</v>
      </c>
      <c r="E15" s="318" t="s">
        <v>8</v>
      </c>
      <c r="F15" s="318" t="s">
        <v>271</v>
      </c>
      <c r="G15" s="318" t="s">
        <v>723</v>
      </c>
      <c r="H15" s="318" t="s">
        <v>989</v>
      </c>
      <c r="I15" s="318" t="s">
        <v>990</v>
      </c>
      <c r="J15" s="318" t="s">
        <v>1043</v>
      </c>
      <c r="K15" s="318" t="s">
        <v>1047</v>
      </c>
      <c r="L15" s="318" t="s">
        <v>1055</v>
      </c>
      <c r="M15" s="318" t="s">
        <v>1062</v>
      </c>
      <c r="N15" s="318" t="s">
        <v>1069</v>
      </c>
      <c r="O15" s="318" t="s">
        <v>1072</v>
      </c>
      <c r="P15" s="318" t="s">
        <v>1078</v>
      </c>
      <c r="Q15" s="318" t="s">
        <v>953</v>
      </c>
      <c r="R15" s="318" t="s">
        <v>1086</v>
      </c>
      <c r="S15" s="318" t="s">
        <v>1089</v>
      </c>
      <c r="T15" s="318" t="s">
        <v>102</v>
      </c>
      <c r="U15" s="318" t="s">
        <v>102</v>
      </c>
      <c r="V15" s="318" t="s">
        <v>102</v>
      </c>
      <c r="W15" s="318" t="s">
        <v>102</v>
      </c>
      <c r="X15" s="318" t="s">
        <v>102</v>
      </c>
      <c r="Y15" s="318" t="s">
        <v>102</v>
      </c>
      <c r="Z15" s="318" t="s">
        <v>102</v>
      </c>
      <c r="AA15" s="318" t="s">
        <v>102</v>
      </c>
      <c r="AB15" s="318" t="s">
        <v>102</v>
      </c>
      <c r="AC15" s="318" t="s">
        <v>102</v>
      </c>
      <c r="AD15" s="318" t="s">
        <v>1771</v>
      </c>
      <c r="AE15" s="318">
        <f>36+6*12</f>
        <v>108</v>
      </c>
      <c r="AF15" s="318">
        <v>40</v>
      </c>
      <c r="AG15" s="318">
        <v>1980</v>
      </c>
      <c r="AH15" s="318" t="s">
        <v>800</v>
      </c>
      <c r="AI15" s="318">
        <f t="shared" si="67"/>
        <v>1980</v>
      </c>
      <c r="AJ15" s="318" t="str">
        <f t="shared" si="66"/>
        <v>Estimated</v>
      </c>
      <c r="AK15" s="318"/>
      <c r="AL15" s="318"/>
      <c r="AM15" s="317">
        <f t="shared" si="6"/>
        <v>35615.522919452276</v>
      </c>
      <c r="AN15" s="318" t="s">
        <v>800</v>
      </c>
      <c r="AO15" s="511">
        <f t="shared" si="7"/>
        <v>35615.522919452276</v>
      </c>
      <c r="AP15" s="511">
        <f t="shared" si="72"/>
        <v>0</v>
      </c>
      <c r="AQ15" s="511">
        <f t="shared" si="8"/>
        <v>0</v>
      </c>
      <c r="AR15" s="511">
        <f t="shared" si="73"/>
        <v>0</v>
      </c>
      <c r="AS15" s="511">
        <f>HLOOKUP($C$1,'Inflation Adjustments'!$BI$3:$BT$4,2)*CR15</f>
        <v>246665.62462499997</v>
      </c>
      <c r="AT15" s="511">
        <f>IF(BU15="In Service",'Maintenace Cost Assumptions'!$B$3*AS15,0)</f>
        <v>1233.3281231249998</v>
      </c>
      <c r="AU15" s="318">
        <v>3</v>
      </c>
      <c r="AV15" s="318">
        <v>2</v>
      </c>
      <c r="AW15" s="318">
        <v>2</v>
      </c>
      <c r="AX15" s="318">
        <v>2</v>
      </c>
      <c r="AY15" s="318">
        <v>2</v>
      </c>
      <c r="AZ15" s="318">
        <v>2</v>
      </c>
      <c r="BA15" s="318">
        <v>2</v>
      </c>
      <c r="BB15" s="318"/>
      <c r="BC15" s="318"/>
      <c r="BD15" s="318"/>
      <c r="BE15" s="318">
        <v>2</v>
      </c>
      <c r="BF15" s="318"/>
      <c r="BG15" s="332">
        <f>(AU15*'Condition rating weights'!H$8+AV15*'Condition rating weights'!I$8+AW15*'Condition rating weights'!J$8+AX15*'Condition rating weights'!K$8+AY15*'Condition rating weights'!L$8+AZ15*'Condition rating weights'!M$8+BA15*'Condition rating weights'!N$8+BB15*'Condition rating weights'!O$8+BC15*'Condition rating weights'!P$8+BD15*'Condition rating weights'!Q$8+BE15*'Condition rating weights'!R$8+BF15*'Condition rating weights'!S$8)/100</f>
        <v>0.43</v>
      </c>
      <c r="BH15" s="333">
        <v>1</v>
      </c>
      <c r="BI15" s="333">
        <v>111</v>
      </c>
      <c r="BJ15" s="333" t="s">
        <v>12</v>
      </c>
      <c r="BK15" s="333" t="s">
        <v>959</v>
      </c>
      <c r="BL15" s="333" t="s">
        <v>960</v>
      </c>
      <c r="BM15" s="333" t="s">
        <v>961</v>
      </c>
      <c r="BN15" s="333" t="s">
        <v>117</v>
      </c>
      <c r="BO15" s="333" t="s">
        <v>962</v>
      </c>
      <c r="BP15" s="333" t="s">
        <v>962</v>
      </c>
      <c r="BQ15" s="333" t="s">
        <v>978</v>
      </c>
      <c r="BR15" s="333" t="s">
        <v>964</v>
      </c>
      <c r="BS15" s="333" t="s">
        <v>964</v>
      </c>
      <c r="BT15" s="334" t="s">
        <v>965</v>
      </c>
      <c r="BU15" s="335" t="s">
        <v>1430</v>
      </c>
      <c r="BV15" s="255"/>
      <c r="BY15" s="144"/>
      <c r="BZ15" s="144"/>
      <c r="CA15" s="144"/>
      <c r="CB15" s="144"/>
      <c r="CC15" s="144"/>
      <c r="CD15" s="365"/>
      <c r="CE15" s="144"/>
      <c r="CF15" s="144"/>
      <c r="CG15" s="144"/>
      <c r="CH15" s="378">
        <f t="shared" si="9"/>
        <v>16200</v>
      </c>
      <c r="CI15" s="378">
        <f t="shared" si="10"/>
        <v>54000</v>
      </c>
      <c r="CJ15" s="378">
        <f t="shared" si="11"/>
        <v>10800</v>
      </c>
      <c r="CK15" s="378">
        <f t="shared" si="12"/>
        <v>16200</v>
      </c>
      <c r="CL15" s="378">
        <f t="shared" si="13"/>
        <v>27000</v>
      </c>
      <c r="CM15" s="378">
        <f t="shared" si="14"/>
        <v>10800</v>
      </c>
      <c r="CN15" s="378">
        <f t="shared" si="15"/>
        <v>8640</v>
      </c>
      <c r="CO15" s="378">
        <f t="shared" si="16"/>
        <v>8640</v>
      </c>
      <c r="CP15" s="378">
        <f t="shared" si="17"/>
        <v>10800</v>
      </c>
      <c r="CQ15" s="378">
        <f t="shared" si="18"/>
        <v>2160</v>
      </c>
      <c r="CR15" s="354">
        <f t="shared" ref="CR15:CR17" si="74">SUM(CH15:CQ15)</f>
        <v>165240</v>
      </c>
      <c r="CS15" s="379">
        <f>(HLOOKUP($AI15,'Inflation Adjustments'!$B$3:$BT$4,2,TRUE))*CH15</f>
        <v>3491.7179332796354</v>
      </c>
      <c r="CT15" s="379">
        <f>(HLOOKUP($AI15,'Inflation Adjustments'!$B$3:$BT$4,2,TRUE))*CI15</f>
        <v>11639.059777598786</v>
      </c>
      <c r="CU15" s="379">
        <f>(HLOOKUP($AI15,'Inflation Adjustments'!$B$3:$BT$4,2,TRUE))*CJ15</f>
        <v>2327.8119555197572</v>
      </c>
      <c r="CV15" s="379">
        <f>(HLOOKUP($AI15,'Inflation Adjustments'!$B$3:$BT$4,2,TRUE))*CK15</f>
        <v>3491.7179332796354</v>
      </c>
      <c r="CW15" s="379">
        <f>(HLOOKUP($AI15,'Inflation Adjustments'!$B$3:$BT$4,2,TRUE))*CL15</f>
        <v>5819.5298887993931</v>
      </c>
      <c r="CX15" s="379">
        <f>(HLOOKUP($AI15,'Inflation Adjustments'!$B$3:$BT$4,2,TRUE))*CM15</f>
        <v>2327.8119555197572</v>
      </c>
      <c r="CY15" s="379">
        <f>(HLOOKUP($AI15,'Inflation Adjustments'!$B$3:$BT$4,2,TRUE))*CN15</f>
        <v>1862.2495644158057</v>
      </c>
      <c r="CZ15" s="379">
        <f>(HLOOKUP($AI15,'Inflation Adjustments'!$B$3:$BT$4,2,TRUE))*CO15</f>
        <v>1862.2495644158057</v>
      </c>
      <c r="DA15" s="379">
        <f>(HLOOKUP($AI15,'Inflation Adjustments'!$B$3:$BT$4,2,TRUE))*CP15</f>
        <v>2327.8119555197572</v>
      </c>
      <c r="DB15" s="379">
        <f>(HLOOKUP($AI15,'Inflation Adjustments'!$B$3:$BT$4,2,TRUE))*CQ15</f>
        <v>465.56239110395143</v>
      </c>
      <c r="DC15" s="379">
        <f t="shared" si="19"/>
        <v>35615.522919452276</v>
      </c>
      <c r="DD15" s="354">
        <f t="shared" si="20"/>
        <v>42</v>
      </c>
      <c r="DE15" s="378">
        <f t="shared" si="21"/>
        <v>40</v>
      </c>
      <c r="DF15" s="378">
        <f t="shared" si="22"/>
        <v>40</v>
      </c>
      <c r="DG15" s="378">
        <f t="shared" si="23"/>
        <v>10</v>
      </c>
      <c r="DH15" s="378">
        <f t="shared" si="24"/>
        <v>20</v>
      </c>
      <c r="DI15" s="378">
        <f t="shared" si="25"/>
        <v>40</v>
      </c>
      <c r="DJ15" s="378">
        <f t="shared" si="26"/>
        <v>20</v>
      </c>
      <c r="DK15" s="378">
        <f t="shared" si="27"/>
        <v>10</v>
      </c>
      <c r="DL15" s="378">
        <f t="shared" si="28"/>
        <v>10</v>
      </c>
      <c r="DM15" s="378">
        <f t="shared" si="29"/>
        <v>20</v>
      </c>
      <c r="DN15" s="378">
        <f t="shared" si="30"/>
        <v>20</v>
      </c>
      <c r="DO15" s="380">
        <f t="shared" ref="DO15:DX17" si="75">CS15/DE15</f>
        <v>87.292948331990885</v>
      </c>
      <c r="DP15" s="380">
        <f t="shared" ref="DP15:DX15" si="76">CT15/DF15</f>
        <v>290.97649443996966</v>
      </c>
      <c r="DQ15" s="380">
        <f t="shared" si="76"/>
        <v>232.78119555197571</v>
      </c>
      <c r="DR15" s="380">
        <f t="shared" si="76"/>
        <v>174.58589666398177</v>
      </c>
      <c r="DS15" s="380">
        <f t="shared" si="76"/>
        <v>145.48824721998483</v>
      </c>
      <c r="DT15" s="380">
        <f t="shared" si="76"/>
        <v>116.39059777598786</v>
      </c>
      <c r="DU15" s="380">
        <f t="shared" si="76"/>
        <v>186.22495644158056</v>
      </c>
      <c r="DV15" s="380">
        <f t="shared" si="76"/>
        <v>186.22495644158056</v>
      </c>
      <c r="DW15" s="380">
        <f t="shared" si="76"/>
        <v>116.39059777598786</v>
      </c>
      <c r="DX15" s="380">
        <f t="shared" si="76"/>
        <v>23.27811955519757</v>
      </c>
      <c r="DY15" s="380">
        <f t="shared" ref="DY15:DY17" si="77">SUM(DO15:DX15)</f>
        <v>1559.6340101982371</v>
      </c>
      <c r="DZ15" s="378">
        <f t="shared" si="41"/>
        <v>3491.7179332796354</v>
      </c>
      <c r="EA15" s="378">
        <f t="shared" si="42"/>
        <v>11639.059777598786</v>
      </c>
      <c r="EB15" s="378">
        <f t="shared" si="43"/>
        <v>2327.8119555197572</v>
      </c>
      <c r="EC15" s="378">
        <f t="shared" si="44"/>
        <v>3491.7179332796354</v>
      </c>
      <c r="ED15" s="378">
        <f t="shared" si="45"/>
        <v>5819.5298887993931</v>
      </c>
      <c r="EE15" s="378">
        <f t="shared" si="46"/>
        <v>2327.8119555197572</v>
      </c>
      <c r="EF15" s="378">
        <f t="shared" si="47"/>
        <v>1862.2495644158057</v>
      </c>
      <c r="EG15" s="378">
        <f t="shared" si="48"/>
        <v>1862.2495644158057</v>
      </c>
      <c r="EH15" s="378">
        <f t="shared" si="49"/>
        <v>2327.8119555197572</v>
      </c>
      <c r="EI15" s="378">
        <f t="shared" si="50"/>
        <v>465.56239110395143</v>
      </c>
      <c r="EJ15" s="354">
        <f t="shared" ref="EJ15:EJ17" si="78">SUM(DZ15:EI15)</f>
        <v>35615.522919452276</v>
      </c>
      <c r="EK15" s="380">
        <f t="shared" ref="EK15:ET17" si="79">IF(DO15&lt;(CS15-DZ15),DO15,(CS15-DZ15))</f>
        <v>0</v>
      </c>
      <c r="EL15" s="380">
        <f t="shared" ref="EL15:ET15" si="80">IF(DP15&lt;(CT15-EA15),DP15,(CT15-EA15))</f>
        <v>0</v>
      </c>
      <c r="EM15" s="380">
        <f t="shared" si="80"/>
        <v>0</v>
      </c>
      <c r="EN15" s="380">
        <f t="shared" si="80"/>
        <v>0</v>
      </c>
      <c r="EO15" s="380">
        <f t="shared" si="80"/>
        <v>0</v>
      </c>
      <c r="EP15" s="380">
        <f t="shared" si="80"/>
        <v>0</v>
      </c>
      <c r="EQ15" s="380">
        <f t="shared" si="80"/>
        <v>0</v>
      </c>
      <c r="ER15" s="380">
        <f t="shared" si="80"/>
        <v>0</v>
      </c>
      <c r="ES15" s="380">
        <f t="shared" si="80"/>
        <v>0</v>
      </c>
      <c r="ET15" s="380">
        <f t="shared" si="80"/>
        <v>0</v>
      </c>
      <c r="EU15" s="379">
        <f t="shared" ref="EU15:EU17" si="81">SUM(EK15:ET15)</f>
        <v>0</v>
      </c>
      <c r="EV15" s="382"/>
      <c r="EW15" s="382"/>
      <c r="EX15" s="382"/>
      <c r="EY15" s="382"/>
      <c r="EZ15" s="382"/>
      <c r="FA15" s="382"/>
      <c r="FB15" s="382"/>
      <c r="FE15" s="583"/>
      <c r="FF15" s="583"/>
      <c r="FG15" s="583"/>
      <c r="FH15" s="583"/>
    </row>
    <row r="16" spans="1:165" ht="35" customHeight="1" x14ac:dyDescent="0.3">
      <c r="A16" s="330" t="s">
        <v>1817</v>
      </c>
      <c r="B16" s="318" t="s">
        <v>1006</v>
      </c>
      <c r="C16" s="318" t="s">
        <v>988</v>
      </c>
      <c r="D16" s="318" t="s">
        <v>79</v>
      </c>
      <c r="E16" s="318" t="s">
        <v>8</v>
      </c>
      <c r="F16" s="318" t="s">
        <v>271</v>
      </c>
      <c r="G16" s="318" t="s">
        <v>723</v>
      </c>
      <c r="H16" s="318" t="s">
        <v>989</v>
      </c>
      <c r="I16" s="318" t="s">
        <v>990</v>
      </c>
      <c r="J16" s="318" t="s">
        <v>1043</v>
      </c>
      <c r="K16" s="318" t="s">
        <v>1047</v>
      </c>
      <c r="L16" s="318" t="s">
        <v>1055</v>
      </c>
      <c r="M16" s="318" t="s">
        <v>1062</v>
      </c>
      <c r="N16" s="318" t="s">
        <v>1069</v>
      </c>
      <c r="O16" s="318" t="s">
        <v>1072</v>
      </c>
      <c r="P16" s="318" t="s">
        <v>1078</v>
      </c>
      <c r="Q16" s="318" t="s">
        <v>953</v>
      </c>
      <c r="R16" s="318" t="s">
        <v>1086</v>
      </c>
      <c r="S16" s="318" t="s">
        <v>1089</v>
      </c>
      <c r="T16" s="318" t="s">
        <v>102</v>
      </c>
      <c r="U16" s="318" t="s">
        <v>102</v>
      </c>
      <c r="V16" s="318" t="s">
        <v>102</v>
      </c>
      <c r="W16" s="318" t="s">
        <v>102</v>
      </c>
      <c r="X16" s="318" t="s">
        <v>102</v>
      </c>
      <c r="Y16" s="318" t="s">
        <v>102</v>
      </c>
      <c r="Z16" s="318" t="s">
        <v>102</v>
      </c>
      <c r="AA16" s="318" t="s">
        <v>102</v>
      </c>
      <c r="AB16" s="318" t="s">
        <v>102</v>
      </c>
      <c r="AC16" s="318" t="s">
        <v>102</v>
      </c>
      <c r="AD16" s="318" t="s">
        <v>1771</v>
      </c>
      <c r="AE16" s="318">
        <v>165</v>
      </c>
      <c r="AF16" s="318">
        <v>40</v>
      </c>
      <c r="AG16" s="318">
        <v>1980</v>
      </c>
      <c r="AH16" s="318" t="s">
        <v>800</v>
      </c>
      <c r="AI16" s="318">
        <f t="shared" si="67"/>
        <v>1980</v>
      </c>
      <c r="AJ16" s="318" t="str">
        <f t="shared" si="66"/>
        <v>Estimated</v>
      </c>
      <c r="AK16" s="318"/>
      <c r="AL16" s="318"/>
      <c r="AM16" s="317">
        <f t="shared" si="6"/>
        <v>54412.604460274328</v>
      </c>
      <c r="AN16" s="318" t="s">
        <v>800</v>
      </c>
      <c r="AO16" s="511">
        <f t="shared" si="7"/>
        <v>54412.604460274328</v>
      </c>
      <c r="AP16" s="511">
        <f t="shared" si="72"/>
        <v>0</v>
      </c>
      <c r="AQ16" s="511">
        <f t="shared" si="8"/>
        <v>0</v>
      </c>
      <c r="AR16" s="511">
        <f t="shared" si="73"/>
        <v>0</v>
      </c>
      <c r="AS16" s="511">
        <f>HLOOKUP($C$1,'Inflation Adjustments'!$BI$3:$BT$4,2)*CR16</f>
        <v>376850.25984374998</v>
      </c>
      <c r="AT16" s="511">
        <f>IF(BU16="In Service",'Maintenace Cost Assumptions'!$B$3*AS16,0)</f>
        <v>1884.2512992187499</v>
      </c>
      <c r="AU16" s="318">
        <v>3</v>
      </c>
      <c r="AV16" s="318">
        <v>2</v>
      </c>
      <c r="AW16" s="318">
        <v>2</v>
      </c>
      <c r="AX16" s="318">
        <v>2</v>
      </c>
      <c r="AY16" s="318">
        <v>2</v>
      </c>
      <c r="AZ16" s="318">
        <v>2</v>
      </c>
      <c r="BA16" s="318">
        <v>2</v>
      </c>
      <c r="BB16" s="318"/>
      <c r="BC16" s="318"/>
      <c r="BD16" s="318"/>
      <c r="BE16" s="318">
        <v>2</v>
      </c>
      <c r="BF16" s="318"/>
      <c r="BG16" s="332">
        <f>(AU16*'Condition rating weights'!H$8+AV16*'Condition rating weights'!I$8+AW16*'Condition rating weights'!J$8+AX16*'Condition rating weights'!K$8+AY16*'Condition rating weights'!L$8+AZ16*'Condition rating weights'!M$8+BA16*'Condition rating weights'!N$8+BB16*'Condition rating weights'!O$8+BC16*'Condition rating weights'!P$8+BD16*'Condition rating weights'!Q$8+BE16*'Condition rating weights'!R$8+BF16*'Condition rating weights'!S$8)/100</f>
        <v>0.43</v>
      </c>
      <c r="BH16" s="333">
        <v>1</v>
      </c>
      <c r="BI16" s="333">
        <v>111</v>
      </c>
      <c r="BJ16" s="333" t="s">
        <v>12</v>
      </c>
      <c r="BK16" s="333" t="s">
        <v>959</v>
      </c>
      <c r="BL16" s="333" t="s">
        <v>960</v>
      </c>
      <c r="BM16" s="333" t="s">
        <v>961</v>
      </c>
      <c r="BN16" s="333" t="s">
        <v>117</v>
      </c>
      <c r="BO16" s="333" t="s">
        <v>962</v>
      </c>
      <c r="BP16" s="333" t="s">
        <v>962</v>
      </c>
      <c r="BQ16" s="333" t="s">
        <v>978</v>
      </c>
      <c r="BR16" s="333" t="s">
        <v>964</v>
      </c>
      <c r="BS16" s="333" t="s">
        <v>964</v>
      </c>
      <c r="BT16" s="334" t="s">
        <v>965</v>
      </c>
      <c r="BU16" s="335" t="s">
        <v>1430</v>
      </c>
      <c r="BV16" s="255"/>
      <c r="BY16" s="144"/>
      <c r="BZ16" s="144"/>
      <c r="CA16" s="144"/>
      <c r="CB16" s="144"/>
      <c r="CC16" s="144"/>
      <c r="CD16" s="144"/>
      <c r="CE16" s="144"/>
      <c r="CF16" s="144"/>
      <c r="CG16" s="144"/>
      <c r="CH16" s="378">
        <f t="shared" si="9"/>
        <v>24750</v>
      </c>
      <c r="CI16" s="378">
        <f t="shared" si="10"/>
        <v>82500</v>
      </c>
      <c r="CJ16" s="378">
        <f t="shared" si="11"/>
        <v>16500</v>
      </c>
      <c r="CK16" s="378">
        <f t="shared" si="12"/>
        <v>24750</v>
      </c>
      <c r="CL16" s="378">
        <f t="shared" si="13"/>
        <v>41250</v>
      </c>
      <c r="CM16" s="378">
        <f t="shared" si="14"/>
        <v>16500</v>
      </c>
      <c r="CN16" s="378">
        <f t="shared" si="15"/>
        <v>13200</v>
      </c>
      <c r="CO16" s="378">
        <f t="shared" si="16"/>
        <v>13200</v>
      </c>
      <c r="CP16" s="378">
        <f t="shared" si="17"/>
        <v>16500</v>
      </c>
      <c r="CQ16" s="378">
        <f t="shared" si="18"/>
        <v>3300</v>
      </c>
      <c r="CR16" s="354">
        <f t="shared" si="74"/>
        <v>252450</v>
      </c>
      <c r="CS16" s="379">
        <f>(HLOOKUP($AI16,'Inflation Adjustments'!$B$3:$BT$4,2,TRUE))*CH16</f>
        <v>5334.5690647327765</v>
      </c>
      <c r="CT16" s="379">
        <f>(HLOOKUP($AI16,'Inflation Adjustments'!$B$3:$BT$4,2,TRUE))*CI16</f>
        <v>17781.89688244259</v>
      </c>
      <c r="CU16" s="379">
        <f>(HLOOKUP($AI16,'Inflation Adjustments'!$B$3:$BT$4,2,TRUE))*CJ16</f>
        <v>3556.3793764885177</v>
      </c>
      <c r="CV16" s="379">
        <f>(HLOOKUP($AI16,'Inflation Adjustments'!$B$3:$BT$4,2,TRUE))*CK16</f>
        <v>5334.5690647327765</v>
      </c>
      <c r="CW16" s="379">
        <f>(HLOOKUP($AI16,'Inflation Adjustments'!$B$3:$BT$4,2,TRUE))*CL16</f>
        <v>8890.9484412212951</v>
      </c>
      <c r="CX16" s="379">
        <f>(HLOOKUP($AI16,'Inflation Adjustments'!$B$3:$BT$4,2,TRUE))*CM16</f>
        <v>3556.3793764885177</v>
      </c>
      <c r="CY16" s="379">
        <f>(HLOOKUP($AI16,'Inflation Adjustments'!$B$3:$BT$4,2,TRUE))*CN16</f>
        <v>2845.1035011908143</v>
      </c>
      <c r="CZ16" s="379">
        <f>(HLOOKUP($AI16,'Inflation Adjustments'!$B$3:$BT$4,2,TRUE))*CO16</f>
        <v>2845.1035011908143</v>
      </c>
      <c r="DA16" s="379">
        <f>(HLOOKUP($AI16,'Inflation Adjustments'!$B$3:$BT$4,2,TRUE))*CP16</f>
        <v>3556.3793764885177</v>
      </c>
      <c r="DB16" s="379">
        <f>(HLOOKUP($AI16,'Inflation Adjustments'!$B$3:$BT$4,2,TRUE))*CQ16</f>
        <v>711.27587529770358</v>
      </c>
      <c r="DC16" s="379">
        <f t="shared" si="19"/>
        <v>54412.604460274328</v>
      </c>
      <c r="DD16" s="354">
        <f t="shared" si="20"/>
        <v>42</v>
      </c>
      <c r="DE16" s="378">
        <f t="shared" si="21"/>
        <v>40</v>
      </c>
      <c r="DF16" s="378">
        <f t="shared" si="22"/>
        <v>40</v>
      </c>
      <c r="DG16" s="378">
        <f t="shared" si="23"/>
        <v>10</v>
      </c>
      <c r="DH16" s="378">
        <f t="shared" si="24"/>
        <v>20</v>
      </c>
      <c r="DI16" s="378">
        <f t="shared" si="25"/>
        <v>40</v>
      </c>
      <c r="DJ16" s="378">
        <f t="shared" si="26"/>
        <v>20</v>
      </c>
      <c r="DK16" s="378">
        <f t="shared" si="27"/>
        <v>10</v>
      </c>
      <c r="DL16" s="378">
        <f t="shared" si="28"/>
        <v>10</v>
      </c>
      <c r="DM16" s="378">
        <f t="shared" si="29"/>
        <v>20</v>
      </c>
      <c r="DN16" s="378">
        <f t="shared" si="30"/>
        <v>20</v>
      </c>
      <c r="DO16" s="380">
        <f t="shared" si="75"/>
        <v>133.36422661831941</v>
      </c>
      <c r="DP16" s="380">
        <f t="shared" si="75"/>
        <v>444.54742206106476</v>
      </c>
      <c r="DQ16" s="380">
        <f t="shared" si="75"/>
        <v>355.63793764885179</v>
      </c>
      <c r="DR16" s="380">
        <f t="shared" si="75"/>
        <v>266.72845323663881</v>
      </c>
      <c r="DS16" s="380">
        <f t="shared" si="75"/>
        <v>222.27371103053238</v>
      </c>
      <c r="DT16" s="380">
        <f t="shared" si="75"/>
        <v>177.81896882442589</v>
      </c>
      <c r="DU16" s="380">
        <f t="shared" si="75"/>
        <v>284.51035011908141</v>
      </c>
      <c r="DV16" s="380">
        <f t="shared" si="75"/>
        <v>284.51035011908141</v>
      </c>
      <c r="DW16" s="380">
        <f t="shared" si="75"/>
        <v>177.81896882442589</v>
      </c>
      <c r="DX16" s="380">
        <f t="shared" si="75"/>
        <v>35.563793764885176</v>
      </c>
      <c r="DY16" s="380">
        <f t="shared" si="77"/>
        <v>2382.7741822473072</v>
      </c>
      <c r="DZ16" s="378">
        <f t="shared" si="41"/>
        <v>5334.5690647327765</v>
      </c>
      <c r="EA16" s="378">
        <f t="shared" si="42"/>
        <v>17781.89688244259</v>
      </c>
      <c r="EB16" s="378">
        <f t="shared" si="43"/>
        <v>3556.3793764885177</v>
      </c>
      <c r="EC16" s="378">
        <f t="shared" si="44"/>
        <v>5334.5690647327765</v>
      </c>
      <c r="ED16" s="378">
        <f t="shared" si="45"/>
        <v>8890.9484412212951</v>
      </c>
      <c r="EE16" s="378">
        <f t="shared" si="46"/>
        <v>3556.3793764885177</v>
      </c>
      <c r="EF16" s="378">
        <f t="shared" si="47"/>
        <v>2845.1035011908143</v>
      </c>
      <c r="EG16" s="378">
        <f t="shared" si="48"/>
        <v>2845.1035011908143</v>
      </c>
      <c r="EH16" s="378">
        <f t="shared" si="49"/>
        <v>3556.3793764885177</v>
      </c>
      <c r="EI16" s="378">
        <f t="shared" si="50"/>
        <v>711.27587529770358</v>
      </c>
      <c r="EJ16" s="354">
        <f t="shared" si="78"/>
        <v>54412.604460274328</v>
      </c>
      <c r="EK16" s="380">
        <f t="shared" si="79"/>
        <v>0</v>
      </c>
      <c r="EL16" s="380">
        <f t="shared" si="79"/>
        <v>0</v>
      </c>
      <c r="EM16" s="380">
        <f t="shared" si="79"/>
        <v>0</v>
      </c>
      <c r="EN16" s="380">
        <f t="shared" si="79"/>
        <v>0</v>
      </c>
      <c r="EO16" s="380">
        <f t="shared" si="79"/>
        <v>0</v>
      </c>
      <c r="EP16" s="380">
        <f t="shared" si="79"/>
        <v>0</v>
      </c>
      <c r="EQ16" s="380">
        <f t="shared" si="79"/>
        <v>0</v>
      </c>
      <c r="ER16" s="380">
        <f t="shared" si="79"/>
        <v>0</v>
      </c>
      <c r="ES16" s="380">
        <f t="shared" si="79"/>
        <v>0</v>
      </c>
      <c r="ET16" s="380">
        <f t="shared" si="79"/>
        <v>0</v>
      </c>
      <c r="EU16" s="379">
        <f t="shared" si="81"/>
        <v>0</v>
      </c>
      <c r="EV16" s="382"/>
      <c r="EW16" s="382"/>
      <c r="EX16" s="382"/>
      <c r="EY16" s="382"/>
      <c r="EZ16" s="382"/>
      <c r="FA16" s="382"/>
      <c r="FB16" s="382"/>
      <c r="FE16" s="583"/>
      <c r="FF16" s="583"/>
      <c r="FG16" s="583"/>
      <c r="FH16" s="583"/>
    </row>
    <row r="17" spans="1:165" ht="35" customHeight="1" x14ac:dyDescent="0.3">
      <c r="A17" s="330" t="s">
        <v>1818</v>
      </c>
      <c r="B17" s="318" t="s">
        <v>1005</v>
      </c>
      <c r="C17" s="318" t="s">
        <v>988</v>
      </c>
      <c r="D17" s="318" t="s">
        <v>79</v>
      </c>
      <c r="E17" s="318" t="s">
        <v>8</v>
      </c>
      <c r="F17" s="318" t="s">
        <v>271</v>
      </c>
      <c r="G17" s="318" t="s">
        <v>723</v>
      </c>
      <c r="H17" s="318" t="s">
        <v>999</v>
      </c>
      <c r="I17" s="318" t="s">
        <v>1000</v>
      </c>
      <c r="J17" s="318" t="s">
        <v>1043</v>
      </c>
      <c r="K17" s="318" t="s">
        <v>1047</v>
      </c>
      <c r="L17" s="318" t="s">
        <v>1055</v>
      </c>
      <c r="M17" s="318" t="s">
        <v>1062</v>
      </c>
      <c r="N17" s="318" t="s">
        <v>1069</v>
      </c>
      <c r="O17" s="318" t="s">
        <v>1072</v>
      </c>
      <c r="P17" s="318" t="s">
        <v>1078</v>
      </c>
      <c r="Q17" s="318" t="s">
        <v>953</v>
      </c>
      <c r="R17" s="318" t="s">
        <v>1086</v>
      </c>
      <c r="S17" s="318" t="s">
        <v>1089</v>
      </c>
      <c r="T17" s="318" t="s">
        <v>102</v>
      </c>
      <c r="U17" s="318" t="s">
        <v>102</v>
      </c>
      <c r="V17" s="318" t="s">
        <v>102</v>
      </c>
      <c r="W17" s="318" t="s">
        <v>102</v>
      </c>
      <c r="X17" s="318" t="s">
        <v>102</v>
      </c>
      <c r="Y17" s="318" t="s">
        <v>102</v>
      </c>
      <c r="Z17" s="318" t="s">
        <v>102</v>
      </c>
      <c r="AA17" s="318" t="s">
        <v>102</v>
      </c>
      <c r="AB17" s="318" t="s">
        <v>102</v>
      </c>
      <c r="AC17" s="318" t="s">
        <v>102</v>
      </c>
      <c r="AD17" s="318" t="s">
        <v>1771</v>
      </c>
      <c r="AE17" s="318">
        <v>160</v>
      </c>
      <c r="AF17" s="318">
        <v>40</v>
      </c>
      <c r="AG17" s="318">
        <v>1980</v>
      </c>
      <c r="AH17" s="318" t="s">
        <v>800</v>
      </c>
      <c r="AI17" s="318">
        <f t="shared" si="67"/>
        <v>1980</v>
      </c>
      <c r="AJ17" s="318" t="str">
        <f t="shared" si="66"/>
        <v>Estimated</v>
      </c>
      <c r="AK17" s="318"/>
      <c r="AL17" s="318"/>
      <c r="AM17" s="317">
        <f t="shared" si="6"/>
        <v>52763.737658447841</v>
      </c>
      <c r="AN17" s="318" t="s">
        <v>800</v>
      </c>
      <c r="AO17" s="511">
        <f t="shared" si="7"/>
        <v>52763.737658447841</v>
      </c>
      <c r="AP17" s="511">
        <f t="shared" si="72"/>
        <v>0</v>
      </c>
      <c r="AQ17" s="511">
        <f t="shared" si="8"/>
        <v>0</v>
      </c>
      <c r="AR17" s="511">
        <f t="shared" si="73"/>
        <v>0</v>
      </c>
      <c r="AS17" s="511">
        <f>HLOOKUP($C$1,'Inflation Adjustments'!$BI$3:$BT$4,2)*CR17</f>
        <v>365430.55499999999</v>
      </c>
      <c r="AT17" s="511">
        <f>IF(BU17="In Service",'Maintenace Cost Assumptions'!$B$3*AS17,0)</f>
        <v>1827.152775</v>
      </c>
      <c r="AU17" s="318">
        <v>3</v>
      </c>
      <c r="AV17" s="318">
        <v>2</v>
      </c>
      <c r="AW17" s="318">
        <v>2</v>
      </c>
      <c r="AX17" s="318">
        <v>2</v>
      </c>
      <c r="AY17" s="318">
        <v>2</v>
      </c>
      <c r="AZ17" s="318">
        <v>2</v>
      </c>
      <c r="BA17" s="318">
        <v>2</v>
      </c>
      <c r="BB17" s="318"/>
      <c r="BC17" s="318"/>
      <c r="BD17" s="318"/>
      <c r="BE17" s="318">
        <v>2</v>
      </c>
      <c r="BF17" s="318"/>
      <c r="BG17" s="332">
        <f>(AU17*'Condition rating weights'!H$8+AV17*'Condition rating weights'!I$8+AW17*'Condition rating weights'!J$8+AX17*'Condition rating weights'!K$8+AY17*'Condition rating weights'!L$8+AZ17*'Condition rating weights'!M$8+BA17*'Condition rating weights'!N$8+BB17*'Condition rating weights'!O$8+BC17*'Condition rating weights'!P$8+BD17*'Condition rating weights'!Q$8+BE17*'Condition rating weights'!R$8+BF17*'Condition rating weights'!S$8)/100</f>
        <v>0.43</v>
      </c>
      <c r="BH17" s="333">
        <v>1</v>
      </c>
      <c r="BI17" s="333">
        <v>111</v>
      </c>
      <c r="BJ17" s="333" t="s">
        <v>12</v>
      </c>
      <c r="BK17" s="333" t="s">
        <v>959</v>
      </c>
      <c r="BL17" s="333" t="s">
        <v>960</v>
      </c>
      <c r="BM17" s="333" t="s">
        <v>961</v>
      </c>
      <c r="BN17" s="333" t="s">
        <v>117</v>
      </c>
      <c r="BO17" s="333" t="s">
        <v>962</v>
      </c>
      <c r="BP17" s="333" t="s">
        <v>962</v>
      </c>
      <c r="BQ17" s="333" t="s">
        <v>978</v>
      </c>
      <c r="BR17" s="333" t="s">
        <v>964</v>
      </c>
      <c r="BS17" s="333" t="s">
        <v>964</v>
      </c>
      <c r="BT17" s="334" t="s">
        <v>965</v>
      </c>
      <c r="BU17" s="335" t="s">
        <v>1430</v>
      </c>
      <c r="BV17" s="255"/>
      <c r="BY17" s="144"/>
      <c r="BZ17" s="144"/>
      <c r="CA17" s="144"/>
      <c r="CB17" s="144"/>
      <c r="CC17" s="144"/>
      <c r="CD17" s="144"/>
      <c r="CE17" s="144"/>
      <c r="CF17" s="144"/>
      <c r="CG17" s="144"/>
      <c r="CH17" s="378">
        <f t="shared" si="9"/>
        <v>24000</v>
      </c>
      <c r="CI17" s="378">
        <f t="shared" si="10"/>
        <v>80000</v>
      </c>
      <c r="CJ17" s="378">
        <f t="shared" si="11"/>
        <v>16000</v>
      </c>
      <c r="CK17" s="378">
        <f t="shared" si="12"/>
        <v>24000</v>
      </c>
      <c r="CL17" s="378">
        <f t="shared" si="13"/>
        <v>40000</v>
      </c>
      <c r="CM17" s="378">
        <f t="shared" si="14"/>
        <v>16000</v>
      </c>
      <c r="CN17" s="378">
        <f t="shared" si="15"/>
        <v>12800</v>
      </c>
      <c r="CO17" s="378">
        <f t="shared" si="16"/>
        <v>12800</v>
      </c>
      <c r="CP17" s="378">
        <f t="shared" si="17"/>
        <v>16000</v>
      </c>
      <c r="CQ17" s="378">
        <f t="shared" si="18"/>
        <v>3200</v>
      </c>
      <c r="CR17" s="354">
        <f t="shared" si="74"/>
        <v>244800</v>
      </c>
      <c r="CS17" s="379">
        <f>(HLOOKUP($AI17,'Inflation Adjustments'!$B$3:$BT$4,2,TRUE))*CH17</f>
        <v>5172.9154567105716</v>
      </c>
      <c r="CT17" s="379">
        <f>(HLOOKUP($AI17,'Inflation Adjustments'!$B$3:$BT$4,2,TRUE))*CI17</f>
        <v>17243.051522368572</v>
      </c>
      <c r="CU17" s="379">
        <f>(HLOOKUP($AI17,'Inflation Adjustments'!$B$3:$BT$4,2,TRUE))*CJ17</f>
        <v>3448.6103044737142</v>
      </c>
      <c r="CV17" s="379">
        <f>(HLOOKUP($AI17,'Inflation Adjustments'!$B$3:$BT$4,2,TRUE))*CK17</f>
        <v>5172.9154567105716</v>
      </c>
      <c r="CW17" s="379">
        <f>(HLOOKUP($AI17,'Inflation Adjustments'!$B$3:$BT$4,2,TRUE))*CL17</f>
        <v>8621.5257611842862</v>
      </c>
      <c r="CX17" s="379">
        <f>(HLOOKUP($AI17,'Inflation Adjustments'!$B$3:$BT$4,2,TRUE))*CM17</f>
        <v>3448.6103044737142</v>
      </c>
      <c r="CY17" s="379">
        <f>(HLOOKUP($AI17,'Inflation Adjustments'!$B$3:$BT$4,2,TRUE))*CN17</f>
        <v>2758.8882435789715</v>
      </c>
      <c r="CZ17" s="379">
        <f>(HLOOKUP($AI17,'Inflation Adjustments'!$B$3:$BT$4,2,TRUE))*CO17</f>
        <v>2758.8882435789715</v>
      </c>
      <c r="DA17" s="379">
        <f>(HLOOKUP($AI17,'Inflation Adjustments'!$B$3:$BT$4,2,TRUE))*CP17</f>
        <v>3448.6103044737142</v>
      </c>
      <c r="DB17" s="379">
        <f>(HLOOKUP($AI17,'Inflation Adjustments'!$B$3:$BT$4,2,TRUE))*CQ17</f>
        <v>689.72206089474287</v>
      </c>
      <c r="DC17" s="379">
        <f t="shared" si="19"/>
        <v>52763.737658447841</v>
      </c>
      <c r="DD17" s="354">
        <f t="shared" si="20"/>
        <v>42</v>
      </c>
      <c r="DE17" s="378">
        <f t="shared" si="21"/>
        <v>40</v>
      </c>
      <c r="DF17" s="378">
        <f t="shared" si="22"/>
        <v>40</v>
      </c>
      <c r="DG17" s="378">
        <f t="shared" si="23"/>
        <v>10</v>
      </c>
      <c r="DH17" s="378">
        <f t="shared" si="24"/>
        <v>20</v>
      </c>
      <c r="DI17" s="378">
        <f t="shared" si="25"/>
        <v>40</v>
      </c>
      <c r="DJ17" s="378">
        <f t="shared" si="26"/>
        <v>20</v>
      </c>
      <c r="DK17" s="378">
        <f t="shared" si="27"/>
        <v>10</v>
      </c>
      <c r="DL17" s="378">
        <f t="shared" si="28"/>
        <v>10</v>
      </c>
      <c r="DM17" s="378">
        <f t="shared" si="29"/>
        <v>20</v>
      </c>
      <c r="DN17" s="378">
        <f t="shared" si="30"/>
        <v>20</v>
      </c>
      <c r="DO17" s="380">
        <f t="shared" si="75"/>
        <v>129.32288641776429</v>
      </c>
      <c r="DP17" s="380">
        <f t="shared" si="75"/>
        <v>431.07628805921433</v>
      </c>
      <c r="DQ17" s="380">
        <f t="shared" si="75"/>
        <v>344.86103044737143</v>
      </c>
      <c r="DR17" s="380">
        <f t="shared" si="75"/>
        <v>258.64577283552859</v>
      </c>
      <c r="DS17" s="380">
        <f t="shared" si="75"/>
        <v>215.53814402960717</v>
      </c>
      <c r="DT17" s="380">
        <f t="shared" si="75"/>
        <v>172.43051522368572</v>
      </c>
      <c r="DU17" s="380">
        <f t="shared" si="75"/>
        <v>275.88882435789714</v>
      </c>
      <c r="DV17" s="380">
        <f t="shared" si="75"/>
        <v>275.88882435789714</v>
      </c>
      <c r="DW17" s="380">
        <f t="shared" si="75"/>
        <v>172.43051522368572</v>
      </c>
      <c r="DX17" s="380">
        <f t="shared" si="75"/>
        <v>34.486103044737142</v>
      </c>
      <c r="DY17" s="380">
        <f t="shared" si="77"/>
        <v>2310.5689039973886</v>
      </c>
      <c r="DZ17" s="378">
        <f t="shared" si="41"/>
        <v>5172.9154567105716</v>
      </c>
      <c r="EA17" s="378">
        <f t="shared" si="42"/>
        <v>17243.051522368572</v>
      </c>
      <c r="EB17" s="378">
        <f t="shared" si="43"/>
        <v>3448.6103044737142</v>
      </c>
      <c r="EC17" s="378">
        <f t="shared" si="44"/>
        <v>5172.9154567105716</v>
      </c>
      <c r="ED17" s="378">
        <f t="shared" si="45"/>
        <v>8621.5257611842862</v>
      </c>
      <c r="EE17" s="378">
        <f t="shared" si="46"/>
        <v>3448.6103044737142</v>
      </c>
      <c r="EF17" s="378">
        <f t="shared" si="47"/>
        <v>2758.8882435789715</v>
      </c>
      <c r="EG17" s="378">
        <f t="shared" si="48"/>
        <v>2758.8882435789715</v>
      </c>
      <c r="EH17" s="378">
        <f t="shared" si="49"/>
        <v>3448.6103044737142</v>
      </c>
      <c r="EI17" s="378">
        <f t="shared" si="50"/>
        <v>689.72206089474287</v>
      </c>
      <c r="EJ17" s="354">
        <f t="shared" si="78"/>
        <v>52763.737658447841</v>
      </c>
      <c r="EK17" s="380">
        <f t="shared" si="79"/>
        <v>0</v>
      </c>
      <c r="EL17" s="380">
        <f t="shared" si="79"/>
        <v>0</v>
      </c>
      <c r="EM17" s="380">
        <f t="shared" si="79"/>
        <v>0</v>
      </c>
      <c r="EN17" s="380">
        <f t="shared" si="79"/>
        <v>0</v>
      </c>
      <c r="EO17" s="380">
        <f t="shared" si="79"/>
        <v>0</v>
      </c>
      <c r="EP17" s="380">
        <f t="shared" si="79"/>
        <v>0</v>
      </c>
      <c r="EQ17" s="380">
        <f t="shared" si="79"/>
        <v>0</v>
      </c>
      <c r="ER17" s="380">
        <f t="shared" si="79"/>
        <v>0</v>
      </c>
      <c r="ES17" s="380">
        <f t="shared" si="79"/>
        <v>0</v>
      </c>
      <c r="ET17" s="380">
        <f t="shared" si="79"/>
        <v>0</v>
      </c>
      <c r="EU17" s="379">
        <f t="shared" si="81"/>
        <v>0</v>
      </c>
      <c r="EV17" s="382"/>
      <c r="EW17" s="382"/>
      <c r="EX17" s="382"/>
      <c r="EY17" s="382"/>
      <c r="EZ17" s="382"/>
      <c r="FA17" s="382"/>
      <c r="FB17" s="382"/>
      <c r="FE17" s="583"/>
      <c r="FF17" s="583"/>
      <c r="FG17" s="583"/>
      <c r="FH17" s="583"/>
      <c r="FI17" s="329"/>
    </row>
    <row r="18" spans="1:165" ht="35" customHeight="1" x14ac:dyDescent="0.3">
      <c r="A18" s="330" t="s">
        <v>1819</v>
      </c>
      <c r="B18" s="318" t="s">
        <v>1381</v>
      </c>
      <c r="C18" s="318" t="s">
        <v>988</v>
      </c>
      <c r="D18" s="318" t="s">
        <v>79</v>
      </c>
      <c r="E18" s="318" t="s">
        <v>8</v>
      </c>
      <c r="F18" s="318" t="s">
        <v>271</v>
      </c>
      <c r="G18" s="318" t="s">
        <v>723</v>
      </c>
      <c r="H18" s="318" t="s">
        <v>999</v>
      </c>
      <c r="I18" s="318" t="s">
        <v>1000</v>
      </c>
      <c r="J18" s="318" t="s">
        <v>1043</v>
      </c>
      <c r="K18" s="318" t="s">
        <v>1047</v>
      </c>
      <c r="L18" s="318" t="s">
        <v>1055</v>
      </c>
      <c r="M18" s="318" t="s">
        <v>1062</v>
      </c>
      <c r="N18" s="318" t="s">
        <v>1069</v>
      </c>
      <c r="O18" s="318" t="s">
        <v>1072</v>
      </c>
      <c r="P18" s="318" t="s">
        <v>1078</v>
      </c>
      <c r="Q18" s="318" t="s">
        <v>953</v>
      </c>
      <c r="R18" s="318" t="s">
        <v>1086</v>
      </c>
      <c r="S18" s="318" t="s">
        <v>1089</v>
      </c>
      <c r="T18" s="318" t="s">
        <v>102</v>
      </c>
      <c r="U18" s="318" t="s">
        <v>102</v>
      </c>
      <c r="V18" s="318" t="s">
        <v>102</v>
      </c>
      <c r="W18" s="318" t="s">
        <v>102</v>
      </c>
      <c r="X18" s="318" t="s">
        <v>102</v>
      </c>
      <c r="Y18" s="318" t="s">
        <v>102</v>
      </c>
      <c r="Z18" s="318" t="s">
        <v>102</v>
      </c>
      <c r="AA18" s="318" t="s">
        <v>102</v>
      </c>
      <c r="AB18" s="318" t="s">
        <v>102</v>
      </c>
      <c r="AC18" s="318" t="s">
        <v>102</v>
      </c>
      <c r="AD18" s="318" t="s">
        <v>1771</v>
      </c>
      <c r="AE18" s="318">
        <v>45</v>
      </c>
      <c r="AF18" s="318">
        <v>40</v>
      </c>
      <c r="AG18" s="318">
        <v>1980</v>
      </c>
      <c r="AH18" s="318" t="s">
        <v>800</v>
      </c>
      <c r="AI18" s="318">
        <f t="shared" si="67"/>
        <v>1980</v>
      </c>
      <c r="AJ18" s="318" t="str">
        <f t="shared" si="66"/>
        <v>Estimated</v>
      </c>
      <c r="AK18" s="318"/>
      <c r="AL18" s="318"/>
      <c r="AM18" s="317">
        <f t="shared" si="6"/>
        <v>14839.801216438451</v>
      </c>
      <c r="AN18" s="318" t="s">
        <v>800</v>
      </c>
      <c r="AO18" s="511">
        <f t="shared" si="7"/>
        <v>14839.801216438451</v>
      </c>
      <c r="AP18" s="511">
        <f t="shared" si="72"/>
        <v>0</v>
      </c>
      <c r="AQ18" s="511">
        <f t="shared" si="8"/>
        <v>0</v>
      </c>
      <c r="AR18" s="511">
        <f t="shared" si="73"/>
        <v>0</v>
      </c>
      <c r="AS18" s="511">
        <f>HLOOKUP($C$1,'Inflation Adjustments'!$BI$3:$BT$4,2)*CR18</f>
        <v>102777.34359374999</v>
      </c>
      <c r="AT18" s="511">
        <f>IF(BU18="In Service",'Maintenace Cost Assumptions'!$B$3*AS18,0)</f>
        <v>513.88671796874996</v>
      </c>
      <c r="AU18" s="318">
        <v>3</v>
      </c>
      <c r="AV18" s="318">
        <v>2</v>
      </c>
      <c r="AW18" s="318">
        <v>2</v>
      </c>
      <c r="AX18" s="318">
        <v>2</v>
      </c>
      <c r="AY18" s="318">
        <v>2</v>
      </c>
      <c r="AZ18" s="318">
        <v>2</v>
      </c>
      <c r="BA18" s="318">
        <v>2</v>
      </c>
      <c r="BB18" s="318"/>
      <c r="BC18" s="318"/>
      <c r="BD18" s="318"/>
      <c r="BE18" s="318">
        <v>2</v>
      </c>
      <c r="BF18" s="318"/>
      <c r="BG18" s="332">
        <f>(AU18*'Condition rating weights'!H$8+AV18*'Condition rating weights'!I$8+AW18*'Condition rating weights'!J$8+AX18*'Condition rating weights'!K$8+AY18*'Condition rating weights'!L$8+AZ18*'Condition rating weights'!M$8+BA18*'Condition rating weights'!N$8+BB18*'Condition rating weights'!O$8+BC18*'Condition rating weights'!P$8+BD18*'Condition rating weights'!Q$8+BE18*'Condition rating weights'!R$8+BF18*'Condition rating weights'!S$8)/100</f>
        <v>0.43</v>
      </c>
      <c r="BH18" s="333">
        <v>1</v>
      </c>
      <c r="BI18" s="333">
        <v>111</v>
      </c>
      <c r="BJ18" s="333" t="s">
        <v>12</v>
      </c>
      <c r="BK18" s="333" t="s">
        <v>959</v>
      </c>
      <c r="BL18" s="333" t="s">
        <v>960</v>
      </c>
      <c r="BM18" s="333" t="s">
        <v>961</v>
      </c>
      <c r="BN18" s="333" t="s">
        <v>117</v>
      </c>
      <c r="BO18" s="333" t="s">
        <v>962</v>
      </c>
      <c r="BP18" s="333" t="s">
        <v>962</v>
      </c>
      <c r="BQ18" s="333" t="s">
        <v>978</v>
      </c>
      <c r="BR18" s="333" t="s">
        <v>964</v>
      </c>
      <c r="BS18" s="333" t="s">
        <v>964</v>
      </c>
      <c r="BT18" s="334" t="s">
        <v>965</v>
      </c>
      <c r="BU18" s="335" t="s">
        <v>1430</v>
      </c>
      <c r="BV18" s="255"/>
      <c r="BY18" s="144"/>
      <c r="BZ18" s="144"/>
      <c r="CA18" s="144"/>
      <c r="CB18" s="144"/>
      <c r="CC18" s="144"/>
      <c r="CD18" s="144"/>
      <c r="CE18" s="144"/>
      <c r="CF18" s="144"/>
      <c r="CG18" s="144"/>
      <c r="CH18" s="378">
        <f t="shared" si="9"/>
        <v>6750</v>
      </c>
      <c r="CI18" s="378">
        <f t="shared" si="10"/>
        <v>22500</v>
      </c>
      <c r="CJ18" s="378">
        <f t="shared" si="11"/>
        <v>4500</v>
      </c>
      <c r="CK18" s="378">
        <f t="shared" si="12"/>
        <v>6750</v>
      </c>
      <c r="CL18" s="378">
        <f t="shared" si="13"/>
        <v>11250</v>
      </c>
      <c r="CM18" s="378">
        <f t="shared" si="14"/>
        <v>4500</v>
      </c>
      <c r="CN18" s="378">
        <f t="shared" si="15"/>
        <v>3600</v>
      </c>
      <c r="CO18" s="378">
        <f t="shared" si="16"/>
        <v>3600</v>
      </c>
      <c r="CP18" s="378">
        <f t="shared" si="17"/>
        <v>4500</v>
      </c>
      <c r="CQ18" s="378">
        <f t="shared" si="18"/>
        <v>900</v>
      </c>
      <c r="CR18" s="354">
        <f>SUM(CH18:CQ18)</f>
        <v>68850</v>
      </c>
      <c r="CS18" s="379">
        <f>(HLOOKUP($AI18,'Inflation Adjustments'!$B$3:$BT$4,2,TRUE))*CH18</f>
        <v>1454.8824721998483</v>
      </c>
      <c r="CT18" s="379">
        <f>(HLOOKUP($AI18,'Inflation Adjustments'!$B$3:$BT$4,2,TRUE))*CI18</f>
        <v>4849.6082406661608</v>
      </c>
      <c r="CU18" s="379">
        <f>(HLOOKUP($AI18,'Inflation Adjustments'!$B$3:$BT$4,2,TRUE))*CJ18</f>
        <v>969.92164813323211</v>
      </c>
      <c r="CV18" s="379">
        <f>(HLOOKUP($AI18,'Inflation Adjustments'!$B$3:$BT$4,2,TRUE))*CK18</f>
        <v>1454.8824721998483</v>
      </c>
      <c r="CW18" s="379">
        <f>(HLOOKUP($AI18,'Inflation Adjustments'!$B$3:$BT$4,2,TRUE))*CL18</f>
        <v>2424.8041203330804</v>
      </c>
      <c r="CX18" s="379">
        <f>(HLOOKUP($AI18,'Inflation Adjustments'!$B$3:$BT$4,2,TRUE))*CM18</f>
        <v>969.92164813323211</v>
      </c>
      <c r="CY18" s="379">
        <f>(HLOOKUP($AI18,'Inflation Adjustments'!$B$3:$BT$4,2,TRUE))*CN18</f>
        <v>775.93731850658571</v>
      </c>
      <c r="CZ18" s="379">
        <f>(HLOOKUP($AI18,'Inflation Adjustments'!$B$3:$BT$4,2,TRUE))*CO18</f>
        <v>775.93731850658571</v>
      </c>
      <c r="DA18" s="379">
        <f>(HLOOKUP($AI18,'Inflation Adjustments'!$B$3:$BT$4,2,TRUE))*CP18</f>
        <v>969.92164813323211</v>
      </c>
      <c r="DB18" s="379">
        <f>(HLOOKUP($AI18,'Inflation Adjustments'!$B$3:$BT$4,2,TRUE))*CQ18</f>
        <v>193.98432962664643</v>
      </c>
      <c r="DC18" s="379">
        <f t="shared" si="19"/>
        <v>14839.801216438451</v>
      </c>
      <c r="DD18" s="354">
        <f t="shared" si="20"/>
        <v>42</v>
      </c>
      <c r="DE18" s="378">
        <f t="shared" si="21"/>
        <v>40</v>
      </c>
      <c r="DF18" s="378">
        <f t="shared" si="22"/>
        <v>40</v>
      </c>
      <c r="DG18" s="378">
        <f t="shared" si="23"/>
        <v>10</v>
      </c>
      <c r="DH18" s="378">
        <f t="shared" si="24"/>
        <v>20</v>
      </c>
      <c r="DI18" s="378">
        <f t="shared" si="25"/>
        <v>40</v>
      </c>
      <c r="DJ18" s="378">
        <f t="shared" si="26"/>
        <v>20</v>
      </c>
      <c r="DK18" s="378">
        <f t="shared" si="27"/>
        <v>10</v>
      </c>
      <c r="DL18" s="378">
        <f t="shared" si="28"/>
        <v>10</v>
      </c>
      <c r="DM18" s="378">
        <f t="shared" si="29"/>
        <v>20</v>
      </c>
      <c r="DN18" s="378">
        <f t="shared" si="30"/>
        <v>20</v>
      </c>
      <c r="DO18" s="380">
        <f t="shared" ref="DO18:DX21" si="82">CS18/DE18</f>
        <v>36.372061804996207</v>
      </c>
      <c r="DP18" s="380">
        <f t="shared" si="82"/>
        <v>121.24020601665401</v>
      </c>
      <c r="DQ18" s="380">
        <f t="shared" si="82"/>
        <v>96.992164813323214</v>
      </c>
      <c r="DR18" s="380">
        <f t="shared" si="82"/>
        <v>72.744123609992414</v>
      </c>
      <c r="DS18" s="380">
        <f t="shared" si="82"/>
        <v>60.620103008327007</v>
      </c>
      <c r="DT18" s="380">
        <f t="shared" si="82"/>
        <v>48.496082406661607</v>
      </c>
      <c r="DU18" s="380">
        <f t="shared" si="82"/>
        <v>77.593731850658571</v>
      </c>
      <c r="DV18" s="380">
        <f t="shared" si="82"/>
        <v>77.593731850658571</v>
      </c>
      <c r="DW18" s="380">
        <f t="shared" si="82"/>
        <v>48.496082406661607</v>
      </c>
      <c r="DX18" s="380">
        <f t="shared" si="82"/>
        <v>9.6992164813323214</v>
      </c>
      <c r="DY18" s="380">
        <f>SUM(DO18:DX18)</f>
        <v>649.84750424926551</v>
      </c>
      <c r="DZ18" s="378">
        <f t="shared" si="41"/>
        <v>1454.8824721998483</v>
      </c>
      <c r="EA18" s="378">
        <f t="shared" si="42"/>
        <v>4849.6082406661608</v>
      </c>
      <c r="EB18" s="378">
        <f t="shared" si="43"/>
        <v>969.92164813323211</v>
      </c>
      <c r="EC18" s="378">
        <f t="shared" si="44"/>
        <v>1454.8824721998483</v>
      </c>
      <c r="ED18" s="378">
        <f t="shared" si="45"/>
        <v>2424.8041203330804</v>
      </c>
      <c r="EE18" s="378">
        <f t="shared" si="46"/>
        <v>969.92164813323211</v>
      </c>
      <c r="EF18" s="378">
        <f t="shared" si="47"/>
        <v>775.93731850658571</v>
      </c>
      <c r="EG18" s="378">
        <f t="shared" si="48"/>
        <v>775.93731850658571</v>
      </c>
      <c r="EH18" s="378">
        <f t="shared" si="49"/>
        <v>969.92164813323211</v>
      </c>
      <c r="EI18" s="378">
        <f t="shared" si="50"/>
        <v>193.98432962664643</v>
      </c>
      <c r="EJ18" s="354">
        <f>SUM(DZ18:EI18)</f>
        <v>14839.801216438451</v>
      </c>
      <c r="EK18" s="380">
        <f t="shared" ref="EK18:ET21" si="83">IF(DO18&lt;(CS18-DZ18),DO18,(CS18-DZ18))</f>
        <v>0</v>
      </c>
      <c r="EL18" s="380">
        <f t="shared" si="83"/>
        <v>0</v>
      </c>
      <c r="EM18" s="380">
        <f t="shared" si="83"/>
        <v>0</v>
      </c>
      <c r="EN18" s="380">
        <f t="shared" si="83"/>
        <v>0</v>
      </c>
      <c r="EO18" s="380">
        <f t="shared" si="83"/>
        <v>0</v>
      </c>
      <c r="EP18" s="380">
        <f t="shared" si="83"/>
        <v>0</v>
      </c>
      <c r="EQ18" s="380">
        <f t="shared" si="83"/>
        <v>0</v>
      </c>
      <c r="ER18" s="380">
        <f t="shared" si="83"/>
        <v>0</v>
      </c>
      <c r="ES18" s="380">
        <f t="shared" si="83"/>
        <v>0</v>
      </c>
      <c r="ET18" s="380">
        <f t="shared" si="83"/>
        <v>0</v>
      </c>
      <c r="EU18" s="379">
        <f>SUM(EK18:ET18)</f>
        <v>0</v>
      </c>
      <c r="EV18" s="382"/>
      <c r="EW18" s="382"/>
      <c r="EX18" s="382"/>
      <c r="EY18" s="382"/>
      <c r="EZ18" s="382"/>
      <c r="FA18" s="382"/>
      <c r="FB18" s="382"/>
      <c r="FE18" s="583"/>
      <c r="FF18" s="583"/>
      <c r="FG18" s="583"/>
      <c r="FH18" s="583"/>
    </row>
    <row r="19" spans="1:165" ht="35" customHeight="1" x14ac:dyDescent="0.3">
      <c r="A19" s="330" t="s">
        <v>1820</v>
      </c>
      <c r="B19" s="331" t="s">
        <v>1001</v>
      </c>
      <c r="C19" s="331" t="s">
        <v>988</v>
      </c>
      <c r="D19" s="331" t="s">
        <v>88</v>
      </c>
      <c r="E19" s="331" t="s">
        <v>8</v>
      </c>
      <c r="F19" s="331" t="s">
        <v>1002</v>
      </c>
      <c r="G19" s="331" t="s">
        <v>723</v>
      </c>
      <c r="H19" s="331" t="s">
        <v>1003</v>
      </c>
      <c r="I19" s="331" t="s">
        <v>1004</v>
      </c>
      <c r="J19" s="331" t="s">
        <v>1043</v>
      </c>
      <c r="K19" s="331" t="s">
        <v>1047</v>
      </c>
      <c r="L19" s="331" t="s">
        <v>1055</v>
      </c>
      <c r="M19" s="318" t="s">
        <v>1062</v>
      </c>
      <c r="N19" s="331" t="s">
        <v>1069</v>
      </c>
      <c r="O19" s="331" t="s">
        <v>1072</v>
      </c>
      <c r="P19" s="331" t="s">
        <v>1078</v>
      </c>
      <c r="Q19" s="331" t="s">
        <v>953</v>
      </c>
      <c r="R19" s="331" t="s">
        <v>1086</v>
      </c>
      <c r="S19" s="331" t="s">
        <v>1089</v>
      </c>
      <c r="T19" s="331" t="s">
        <v>102</v>
      </c>
      <c r="U19" s="331" t="s">
        <v>102</v>
      </c>
      <c r="V19" s="331" t="s">
        <v>102</v>
      </c>
      <c r="W19" s="331" t="s">
        <v>102</v>
      </c>
      <c r="X19" s="331" t="s">
        <v>102</v>
      </c>
      <c r="Y19" s="331" t="s">
        <v>102</v>
      </c>
      <c r="Z19" s="331" t="s">
        <v>102</v>
      </c>
      <c r="AA19" s="331" t="s">
        <v>102</v>
      </c>
      <c r="AB19" s="331" t="s">
        <v>102</v>
      </c>
      <c r="AC19" s="331" t="s">
        <v>102</v>
      </c>
      <c r="AD19" s="331" t="s">
        <v>1771</v>
      </c>
      <c r="AE19" s="331">
        <v>110</v>
      </c>
      <c r="AF19" s="331">
        <v>40</v>
      </c>
      <c r="AG19" s="331">
        <v>1980</v>
      </c>
      <c r="AH19" s="331" t="s">
        <v>800</v>
      </c>
      <c r="AI19" s="331">
        <f t="shared" si="67"/>
        <v>1980</v>
      </c>
      <c r="AJ19" s="331" t="str">
        <f t="shared" si="66"/>
        <v>Estimated</v>
      </c>
      <c r="AK19" s="331"/>
      <c r="AL19" s="331"/>
      <c r="AM19" s="413">
        <f t="shared" si="6"/>
        <v>36275.069640182875</v>
      </c>
      <c r="AN19" s="331" t="s">
        <v>800</v>
      </c>
      <c r="AO19" s="512">
        <f t="shared" si="7"/>
        <v>36275.069640182875</v>
      </c>
      <c r="AP19" s="512">
        <f t="shared" si="72"/>
        <v>0</v>
      </c>
      <c r="AQ19" s="512">
        <f t="shared" si="8"/>
        <v>0</v>
      </c>
      <c r="AR19" s="512">
        <f t="shared" si="73"/>
        <v>0</v>
      </c>
      <c r="AS19" s="511">
        <f>HLOOKUP($C$1,'Inflation Adjustments'!$BI$3:$BT$4,2)*CR19</f>
        <v>251233.50656249997</v>
      </c>
      <c r="AT19" s="511">
        <f>IF(BU19="In Service",'Maintenace Cost Assumptions'!$B$3*AS19,0)</f>
        <v>1256.1675328125</v>
      </c>
      <c r="AU19" s="318">
        <v>3</v>
      </c>
      <c r="AV19" s="318">
        <v>2</v>
      </c>
      <c r="AW19" s="318">
        <v>2</v>
      </c>
      <c r="AX19" s="318">
        <v>2</v>
      </c>
      <c r="AY19" s="318">
        <v>2</v>
      </c>
      <c r="AZ19" s="318">
        <v>2</v>
      </c>
      <c r="BA19" s="331">
        <v>2</v>
      </c>
      <c r="BB19" s="331"/>
      <c r="BC19" s="331"/>
      <c r="BD19" s="331"/>
      <c r="BE19" s="331">
        <v>2</v>
      </c>
      <c r="BF19" s="318"/>
      <c r="BG19" s="429">
        <f>(AU19*'Condition rating weights'!H$8+AV19*'Condition rating weights'!I$8+AW19*'Condition rating weights'!J$8+AX19*'Condition rating weights'!K$8+AY19*'Condition rating weights'!L$8+AZ19*'Condition rating weights'!M$8+BA19*'Condition rating weights'!N$8+BB19*'Condition rating weights'!O$8+BC19*'Condition rating weights'!P$8+BD19*'Condition rating weights'!Q$8+BE19*'Condition rating weights'!R$8+BF19*'Condition rating weights'!S$8)/100</f>
        <v>0.43</v>
      </c>
      <c r="BH19" s="414">
        <v>1</v>
      </c>
      <c r="BI19" s="414">
        <v>111</v>
      </c>
      <c r="BJ19" s="414" t="s">
        <v>12</v>
      </c>
      <c r="BK19" s="414" t="s">
        <v>959</v>
      </c>
      <c r="BL19" s="414" t="s">
        <v>960</v>
      </c>
      <c r="BM19" s="414" t="s">
        <v>961</v>
      </c>
      <c r="BN19" s="414" t="s">
        <v>117</v>
      </c>
      <c r="BO19" s="414" t="s">
        <v>962</v>
      </c>
      <c r="BP19" s="414" t="s">
        <v>962</v>
      </c>
      <c r="BQ19" s="414" t="s">
        <v>978</v>
      </c>
      <c r="BR19" s="414" t="s">
        <v>964</v>
      </c>
      <c r="BS19" s="414" t="s">
        <v>964</v>
      </c>
      <c r="BT19" s="415" t="s">
        <v>965</v>
      </c>
      <c r="BU19" s="335" t="s">
        <v>1430</v>
      </c>
      <c r="BV19" s="255"/>
      <c r="BW19" s="361"/>
      <c r="BY19" s="144"/>
      <c r="BZ19" s="144"/>
      <c r="CA19" s="144"/>
      <c r="CB19" s="144"/>
      <c r="CC19" s="144"/>
      <c r="CD19" s="144"/>
      <c r="CE19" s="144"/>
      <c r="CF19" s="144"/>
      <c r="CG19" s="144"/>
      <c r="CH19" s="378">
        <f t="shared" si="9"/>
        <v>16500</v>
      </c>
      <c r="CI19" s="378">
        <f t="shared" si="10"/>
        <v>55000</v>
      </c>
      <c r="CJ19" s="378">
        <f t="shared" si="11"/>
        <v>11000</v>
      </c>
      <c r="CK19" s="378">
        <f t="shared" si="12"/>
        <v>16500</v>
      </c>
      <c r="CL19" s="378">
        <f t="shared" si="13"/>
        <v>27500</v>
      </c>
      <c r="CM19" s="378">
        <f t="shared" si="14"/>
        <v>11000</v>
      </c>
      <c r="CN19" s="378">
        <f t="shared" si="15"/>
        <v>8800</v>
      </c>
      <c r="CO19" s="378">
        <f t="shared" si="16"/>
        <v>8800</v>
      </c>
      <c r="CP19" s="378">
        <f t="shared" si="17"/>
        <v>11000</v>
      </c>
      <c r="CQ19" s="378">
        <f t="shared" si="18"/>
        <v>2200</v>
      </c>
      <c r="CR19" s="354">
        <f>SUM(CH19:CQ19)</f>
        <v>168300</v>
      </c>
      <c r="CS19" s="379">
        <f>(HLOOKUP($AI19,'Inflation Adjustments'!$B$3:$BT$4,2,TRUE))*CH19</f>
        <v>3556.3793764885177</v>
      </c>
      <c r="CT19" s="379">
        <f>(HLOOKUP($AI19,'Inflation Adjustments'!$B$3:$BT$4,2,TRUE))*CI19</f>
        <v>11854.597921628392</v>
      </c>
      <c r="CU19" s="379">
        <f>(HLOOKUP($AI19,'Inflation Adjustments'!$B$3:$BT$4,2,TRUE))*CJ19</f>
        <v>2370.9195843256784</v>
      </c>
      <c r="CV19" s="379">
        <f>(HLOOKUP($AI19,'Inflation Adjustments'!$B$3:$BT$4,2,TRUE))*CK19</f>
        <v>3556.3793764885177</v>
      </c>
      <c r="CW19" s="379">
        <f>(HLOOKUP($AI19,'Inflation Adjustments'!$B$3:$BT$4,2,TRUE))*CL19</f>
        <v>5927.2989608141961</v>
      </c>
      <c r="CX19" s="379">
        <f>(HLOOKUP($AI19,'Inflation Adjustments'!$B$3:$BT$4,2,TRUE))*CM19</f>
        <v>2370.9195843256784</v>
      </c>
      <c r="CY19" s="379">
        <f>(HLOOKUP($AI19,'Inflation Adjustments'!$B$3:$BT$4,2,TRUE))*CN19</f>
        <v>1896.7356674605428</v>
      </c>
      <c r="CZ19" s="379">
        <f>(HLOOKUP($AI19,'Inflation Adjustments'!$B$3:$BT$4,2,TRUE))*CO19</f>
        <v>1896.7356674605428</v>
      </c>
      <c r="DA19" s="379">
        <f>(HLOOKUP($AI19,'Inflation Adjustments'!$B$3:$BT$4,2,TRUE))*CP19</f>
        <v>2370.9195843256784</v>
      </c>
      <c r="DB19" s="379">
        <f>(HLOOKUP($AI19,'Inflation Adjustments'!$B$3:$BT$4,2,TRUE))*CQ19</f>
        <v>474.1839168651357</v>
      </c>
      <c r="DC19" s="379">
        <f t="shared" si="19"/>
        <v>36275.069640182875</v>
      </c>
      <c r="DD19" s="354">
        <f t="shared" si="20"/>
        <v>42</v>
      </c>
      <c r="DE19" s="378">
        <f t="shared" si="21"/>
        <v>40</v>
      </c>
      <c r="DF19" s="378">
        <f t="shared" si="22"/>
        <v>40</v>
      </c>
      <c r="DG19" s="378">
        <f t="shared" si="23"/>
        <v>10</v>
      </c>
      <c r="DH19" s="378">
        <f t="shared" si="24"/>
        <v>20</v>
      </c>
      <c r="DI19" s="378">
        <f t="shared" si="25"/>
        <v>40</v>
      </c>
      <c r="DJ19" s="378">
        <f t="shared" si="26"/>
        <v>20</v>
      </c>
      <c r="DK19" s="378">
        <f t="shared" si="27"/>
        <v>10</v>
      </c>
      <c r="DL19" s="378">
        <f t="shared" si="28"/>
        <v>10</v>
      </c>
      <c r="DM19" s="378">
        <f t="shared" si="29"/>
        <v>20</v>
      </c>
      <c r="DN19" s="378">
        <f t="shared" si="30"/>
        <v>20</v>
      </c>
      <c r="DO19" s="380">
        <f t="shared" si="82"/>
        <v>88.909484412212947</v>
      </c>
      <c r="DP19" s="380">
        <f t="shared" si="82"/>
        <v>296.36494804070981</v>
      </c>
      <c r="DQ19" s="380">
        <f t="shared" si="82"/>
        <v>237.09195843256785</v>
      </c>
      <c r="DR19" s="380">
        <f t="shared" si="82"/>
        <v>177.81896882442589</v>
      </c>
      <c r="DS19" s="380">
        <f t="shared" si="82"/>
        <v>148.1824740203549</v>
      </c>
      <c r="DT19" s="380">
        <f t="shared" si="82"/>
        <v>118.54597921628392</v>
      </c>
      <c r="DU19" s="380">
        <f t="shared" si="82"/>
        <v>189.67356674605429</v>
      </c>
      <c r="DV19" s="380">
        <f t="shared" si="82"/>
        <v>189.67356674605429</v>
      </c>
      <c r="DW19" s="380">
        <f t="shared" si="82"/>
        <v>118.54597921628392</v>
      </c>
      <c r="DX19" s="380">
        <f t="shared" si="82"/>
        <v>23.709195843256786</v>
      </c>
      <c r="DY19" s="380">
        <f>SUM(DO19:DX19)</f>
        <v>1588.5161214982047</v>
      </c>
      <c r="DZ19" s="378">
        <f t="shared" si="41"/>
        <v>3556.3793764885177</v>
      </c>
      <c r="EA19" s="378">
        <f t="shared" si="42"/>
        <v>11854.597921628392</v>
      </c>
      <c r="EB19" s="378">
        <f t="shared" si="43"/>
        <v>2370.9195843256784</v>
      </c>
      <c r="EC19" s="378">
        <f t="shared" si="44"/>
        <v>3556.3793764885177</v>
      </c>
      <c r="ED19" s="378">
        <f t="shared" si="45"/>
        <v>5927.2989608141961</v>
      </c>
      <c r="EE19" s="378">
        <f t="shared" si="46"/>
        <v>2370.9195843256784</v>
      </c>
      <c r="EF19" s="378">
        <f t="shared" si="47"/>
        <v>1896.7356674605428</v>
      </c>
      <c r="EG19" s="378">
        <f t="shared" si="48"/>
        <v>1896.7356674605428</v>
      </c>
      <c r="EH19" s="378">
        <f t="shared" si="49"/>
        <v>2370.9195843256784</v>
      </c>
      <c r="EI19" s="378">
        <f t="shared" si="50"/>
        <v>474.1839168651357</v>
      </c>
      <c r="EJ19" s="354">
        <f>SUM(DZ19:EI19)</f>
        <v>36275.069640182875</v>
      </c>
      <c r="EK19" s="380">
        <f t="shared" si="83"/>
        <v>0</v>
      </c>
      <c r="EL19" s="380">
        <f t="shared" si="83"/>
        <v>0</v>
      </c>
      <c r="EM19" s="380">
        <f t="shared" si="83"/>
        <v>0</v>
      </c>
      <c r="EN19" s="380">
        <f t="shared" si="83"/>
        <v>0</v>
      </c>
      <c r="EO19" s="380">
        <f t="shared" si="83"/>
        <v>0</v>
      </c>
      <c r="EP19" s="380">
        <f t="shared" si="83"/>
        <v>0</v>
      </c>
      <c r="EQ19" s="380">
        <f t="shared" si="83"/>
        <v>0</v>
      </c>
      <c r="ER19" s="380">
        <f t="shared" si="83"/>
        <v>0</v>
      </c>
      <c r="ES19" s="380">
        <f t="shared" si="83"/>
        <v>0</v>
      </c>
      <c r="ET19" s="380">
        <f t="shared" si="83"/>
        <v>0</v>
      </c>
      <c r="EU19" s="379">
        <f>SUM(EK19:ET19)</f>
        <v>0</v>
      </c>
      <c r="EV19" s="382"/>
      <c r="EW19" s="382"/>
      <c r="EX19" s="382"/>
      <c r="EY19" s="382"/>
      <c r="EZ19" s="382"/>
      <c r="FA19" s="382"/>
      <c r="FB19" s="382"/>
      <c r="FE19" s="583"/>
      <c r="FF19" s="583"/>
      <c r="FG19" s="583"/>
      <c r="FH19" s="583"/>
    </row>
    <row r="20" spans="1:165" ht="35" customHeight="1" x14ac:dyDescent="0.3">
      <c r="A20" s="330" t="s">
        <v>1821</v>
      </c>
      <c r="B20" s="318" t="s">
        <v>1660</v>
      </c>
      <c r="C20" s="318" t="s">
        <v>64</v>
      </c>
      <c r="D20" s="318" t="s">
        <v>79</v>
      </c>
      <c r="E20" s="318" t="s">
        <v>8</v>
      </c>
      <c r="F20" s="318" t="s">
        <v>944</v>
      </c>
      <c r="G20" s="318" t="s">
        <v>724</v>
      </c>
      <c r="H20" s="318" t="s">
        <v>1618</v>
      </c>
      <c r="I20" s="318" t="s">
        <v>1619</v>
      </c>
      <c r="J20" s="318" t="s">
        <v>1045</v>
      </c>
      <c r="K20" s="318" t="s">
        <v>1047</v>
      </c>
      <c r="L20" s="318" t="s">
        <v>1055</v>
      </c>
      <c r="M20" s="318" t="s">
        <v>1060</v>
      </c>
      <c r="N20" s="318" t="s">
        <v>1069</v>
      </c>
      <c r="O20" s="318" t="s">
        <v>1371</v>
      </c>
      <c r="P20" s="318" t="s">
        <v>1077</v>
      </c>
      <c r="Q20" s="318" t="s">
        <v>1082</v>
      </c>
      <c r="R20" s="318" t="s">
        <v>1086</v>
      </c>
      <c r="S20" s="318" t="s">
        <v>1091</v>
      </c>
      <c r="T20" s="318" t="s">
        <v>104</v>
      </c>
      <c r="U20" s="318" t="s">
        <v>104</v>
      </c>
      <c r="V20" s="318" t="s">
        <v>104</v>
      </c>
      <c r="W20" s="318" t="s">
        <v>104</v>
      </c>
      <c r="X20" s="318" t="s">
        <v>104</v>
      </c>
      <c r="Y20" s="318" t="s">
        <v>104</v>
      </c>
      <c r="Z20" s="318" t="s">
        <v>104</v>
      </c>
      <c r="AA20" s="318" t="s">
        <v>104</v>
      </c>
      <c r="AB20" s="318" t="s">
        <v>104</v>
      </c>
      <c r="AC20" s="318" t="s">
        <v>104</v>
      </c>
      <c r="AD20" s="318" t="s">
        <v>1771</v>
      </c>
      <c r="AE20" s="318">
        <v>40</v>
      </c>
      <c r="AF20" s="318">
        <v>60</v>
      </c>
      <c r="AG20" s="318">
        <v>2023</v>
      </c>
      <c r="AH20" s="318" t="s">
        <v>800</v>
      </c>
      <c r="AI20" s="318">
        <f t="shared" si="67"/>
        <v>2023</v>
      </c>
      <c r="AJ20" s="318" t="str">
        <f t="shared" si="66"/>
        <v>Estimated</v>
      </c>
      <c r="AK20" s="318"/>
      <c r="AL20" s="318"/>
      <c r="AM20" s="317">
        <f t="shared" si="6"/>
        <v>129871.15312499998</v>
      </c>
      <c r="AN20" s="318" t="s">
        <v>800</v>
      </c>
      <c r="AO20" s="511">
        <f t="shared" si="7"/>
        <v>0</v>
      </c>
      <c r="AP20" s="511">
        <f t="shared" si="72"/>
        <v>129871.15312499998</v>
      </c>
      <c r="AQ20" s="511">
        <f t="shared" si="8"/>
        <v>3259.2185937500003</v>
      </c>
      <c r="AR20" s="511">
        <f t="shared" si="73"/>
        <v>126611.93453124998</v>
      </c>
      <c r="AS20" s="511">
        <f>HLOOKUP($C$1,'Inflation Adjustments'!$BI$3:$BT$4,2)*CR20</f>
        <v>129871.15312499998</v>
      </c>
      <c r="AT20" s="511">
        <f>IF(BU20="In Service",'Maintenace Cost Assumptions'!$B$3*AS20,0)</f>
        <v>649.35576562499989</v>
      </c>
      <c r="AU20" s="318">
        <v>3</v>
      </c>
      <c r="AV20" s="318">
        <v>3</v>
      </c>
      <c r="AW20" s="318">
        <v>3</v>
      </c>
      <c r="AX20" s="318">
        <v>3</v>
      </c>
      <c r="AY20" s="318">
        <v>3</v>
      </c>
      <c r="AZ20" s="318">
        <v>3</v>
      </c>
      <c r="BA20" s="318">
        <v>3</v>
      </c>
      <c r="BB20" s="318"/>
      <c r="BC20" s="318"/>
      <c r="BD20" s="318"/>
      <c r="BE20" s="318">
        <v>4</v>
      </c>
      <c r="BF20" s="318"/>
      <c r="BG20" s="332">
        <f>(AU20*'Condition rating weights'!H$8+AV20*'Condition rating weights'!I$8+AW20*'Condition rating weights'!J$8+AX20*'Condition rating weights'!K$8+AY20*'Condition rating weights'!L$8+AZ20*'Condition rating weights'!M$8+BA20*'Condition rating weights'!N$8+BB20*'Condition rating weights'!O$8+BC20*'Condition rating weights'!P$8+BD20*'Condition rating weights'!Q$8+BE20*'Condition rating weights'!R$8+BF20*'Condition rating weights'!S$8)/100</f>
        <v>0.66</v>
      </c>
      <c r="BH20" s="333">
        <v>2</v>
      </c>
      <c r="BI20" s="333">
        <v>122</v>
      </c>
      <c r="BJ20" s="333" t="s">
        <v>12</v>
      </c>
      <c r="BK20" s="333" t="s">
        <v>959</v>
      </c>
      <c r="BL20" s="333" t="s">
        <v>960</v>
      </c>
      <c r="BM20" s="333" t="s">
        <v>961</v>
      </c>
      <c r="BN20" s="333" t="s">
        <v>117</v>
      </c>
      <c r="BO20" s="333" t="s">
        <v>962</v>
      </c>
      <c r="BP20" s="333" t="s">
        <v>962</v>
      </c>
      <c r="BQ20" s="333" t="s">
        <v>963</v>
      </c>
      <c r="BR20" s="333" t="s">
        <v>964</v>
      </c>
      <c r="BS20" s="333" t="s">
        <v>964</v>
      </c>
      <c r="BT20" s="334" t="s">
        <v>965</v>
      </c>
      <c r="BU20" s="335" t="s">
        <v>1430</v>
      </c>
      <c r="BV20" s="255"/>
      <c r="BY20" s="144"/>
      <c r="BZ20" s="144"/>
      <c r="CA20" s="144"/>
      <c r="CB20" s="144"/>
      <c r="CC20" s="144"/>
      <c r="CD20" s="144"/>
      <c r="CE20" s="144"/>
      <c r="CF20" s="144"/>
      <c r="CG20" s="144"/>
      <c r="CH20" s="378">
        <f t="shared" si="9"/>
        <v>8000</v>
      </c>
      <c r="CI20" s="378">
        <f t="shared" si="10"/>
        <v>32000</v>
      </c>
      <c r="CJ20" s="378">
        <f t="shared" si="11"/>
        <v>3000</v>
      </c>
      <c r="CK20" s="378">
        <f t="shared" si="12"/>
        <v>9200</v>
      </c>
      <c r="CL20" s="378">
        <f t="shared" si="13"/>
        <v>14000</v>
      </c>
      <c r="CM20" s="378">
        <f t="shared" si="14"/>
        <v>6000</v>
      </c>
      <c r="CN20" s="378">
        <f t="shared" si="15"/>
        <v>4000</v>
      </c>
      <c r="CO20" s="378">
        <f t="shared" si="16"/>
        <v>4000</v>
      </c>
      <c r="CP20" s="378">
        <f t="shared" si="17"/>
        <v>5200</v>
      </c>
      <c r="CQ20" s="378">
        <f t="shared" si="18"/>
        <v>1600</v>
      </c>
      <c r="CR20" s="354">
        <f>SUM(CH20:CQ20)</f>
        <v>87000</v>
      </c>
      <c r="CS20" s="379">
        <f>(HLOOKUP($AI20,'Inflation Adjustments'!$B$3:$BT$4,2,TRUE))*CH20</f>
        <v>11942.174999999999</v>
      </c>
      <c r="CT20" s="379">
        <f>(HLOOKUP($AI20,'Inflation Adjustments'!$B$3:$BT$4,2,TRUE))*CI20</f>
        <v>47768.7</v>
      </c>
      <c r="CU20" s="379">
        <f>(HLOOKUP($AI20,'Inflation Adjustments'!$B$3:$BT$4,2,TRUE))*CJ20</f>
        <v>4478.3156249999993</v>
      </c>
      <c r="CV20" s="379">
        <f>(HLOOKUP($AI20,'Inflation Adjustments'!$B$3:$BT$4,2,TRUE))*CK20</f>
        <v>13733.501249999999</v>
      </c>
      <c r="CW20" s="379">
        <f>(HLOOKUP($AI20,'Inflation Adjustments'!$B$3:$BT$4,2,TRUE))*CL20</f>
        <v>20898.806249999998</v>
      </c>
      <c r="CX20" s="379">
        <f>(HLOOKUP($AI20,'Inflation Adjustments'!$B$3:$BT$4,2,TRUE))*CM20</f>
        <v>8956.6312499999985</v>
      </c>
      <c r="CY20" s="379">
        <f>(HLOOKUP($AI20,'Inflation Adjustments'!$B$3:$BT$4,2,TRUE))*CN20</f>
        <v>5971.0874999999996</v>
      </c>
      <c r="CZ20" s="379">
        <f>(HLOOKUP($AI20,'Inflation Adjustments'!$B$3:$BT$4,2,TRUE))*CO20</f>
        <v>5971.0874999999996</v>
      </c>
      <c r="DA20" s="379">
        <f>(HLOOKUP($AI20,'Inflation Adjustments'!$B$3:$BT$4,2,TRUE))*CP20</f>
        <v>7762.4137499999997</v>
      </c>
      <c r="DB20" s="379">
        <f>(HLOOKUP($AI20,'Inflation Adjustments'!$B$3:$BT$4,2,TRUE))*CQ20</f>
        <v>2388.4349999999999</v>
      </c>
      <c r="DC20" s="379">
        <f t="shared" si="19"/>
        <v>129871.15312499998</v>
      </c>
      <c r="DD20" s="354">
        <f t="shared" si="20"/>
        <v>0</v>
      </c>
      <c r="DE20" s="378">
        <f t="shared" si="21"/>
        <v>60</v>
      </c>
      <c r="DF20" s="378">
        <f t="shared" si="22"/>
        <v>60</v>
      </c>
      <c r="DG20" s="378">
        <f t="shared" si="23"/>
        <v>20</v>
      </c>
      <c r="DH20" s="378">
        <f t="shared" si="24"/>
        <v>30</v>
      </c>
      <c r="DI20" s="378">
        <f t="shared" si="25"/>
        <v>60</v>
      </c>
      <c r="DJ20" s="378">
        <f t="shared" si="26"/>
        <v>30</v>
      </c>
      <c r="DK20" s="378">
        <f t="shared" si="27"/>
        <v>20</v>
      </c>
      <c r="DL20" s="378">
        <f t="shared" si="28"/>
        <v>20</v>
      </c>
      <c r="DM20" s="378">
        <f t="shared" si="29"/>
        <v>30</v>
      </c>
      <c r="DN20" s="378">
        <f t="shared" si="30"/>
        <v>30</v>
      </c>
      <c r="DO20" s="380">
        <f t="shared" si="82"/>
        <v>199.03625</v>
      </c>
      <c r="DP20" s="380">
        <f t="shared" si="82"/>
        <v>796.14499999999998</v>
      </c>
      <c r="DQ20" s="380">
        <f t="shared" si="82"/>
        <v>223.91578124999995</v>
      </c>
      <c r="DR20" s="380">
        <f t="shared" si="82"/>
        <v>457.78337499999998</v>
      </c>
      <c r="DS20" s="380">
        <f t="shared" si="82"/>
        <v>348.31343749999996</v>
      </c>
      <c r="DT20" s="380">
        <f t="shared" si="82"/>
        <v>298.55437499999994</v>
      </c>
      <c r="DU20" s="380">
        <f t="shared" si="82"/>
        <v>298.55437499999999</v>
      </c>
      <c r="DV20" s="380">
        <f t="shared" si="82"/>
        <v>298.55437499999999</v>
      </c>
      <c r="DW20" s="380">
        <f t="shared" si="82"/>
        <v>258.74712499999998</v>
      </c>
      <c r="DX20" s="380">
        <f t="shared" si="82"/>
        <v>79.614499999999992</v>
      </c>
      <c r="DY20" s="380">
        <f>SUM(DO20:DX20)</f>
        <v>3259.2185937500003</v>
      </c>
      <c r="DZ20" s="378">
        <f t="shared" si="41"/>
        <v>0</v>
      </c>
      <c r="EA20" s="378">
        <f t="shared" si="42"/>
        <v>0</v>
      </c>
      <c r="EB20" s="378">
        <f t="shared" si="43"/>
        <v>0</v>
      </c>
      <c r="EC20" s="378">
        <f t="shared" si="44"/>
        <v>0</v>
      </c>
      <c r="ED20" s="378">
        <f t="shared" si="45"/>
        <v>0</v>
      </c>
      <c r="EE20" s="378">
        <f t="shared" si="46"/>
        <v>0</v>
      </c>
      <c r="EF20" s="378">
        <f t="shared" si="47"/>
        <v>0</v>
      </c>
      <c r="EG20" s="378">
        <f t="shared" si="48"/>
        <v>0</v>
      </c>
      <c r="EH20" s="378">
        <f t="shared" si="49"/>
        <v>0</v>
      </c>
      <c r="EI20" s="378">
        <f t="shared" si="50"/>
        <v>0</v>
      </c>
      <c r="EJ20" s="354">
        <f>SUM(DZ20:EI20)</f>
        <v>0</v>
      </c>
      <c r="EK20" s="380">
        <f t="shared" si="83"/>
        <v>199.03625</v>
      </c>
      <c r="EL20" s="380">
        <f t="shared" si="83"/>
        <v>796.14499999999998</v>
      </c>
      <c r="EM20" s="380">
        <f t="shared" si="83"/>
        <v>223.91578124999995</v>
      </c>
      <c r="EN20" s="380">
        <f t="shared" si="83"/>
        <v>457.78337499999998</v>
      </c>
      <c r="EO20" s="380">
        <f t="shared" si="83"/>
        <v>348.31343749999996</v>
      </c>
      <c r="EP20" s="380">
        <f t="shared" si="83"/>
        <v>298.55437499999994</v>
      </c>
      <c r="EQ20" s="380">
        <f t="shared" si="83"/>
        <v>298.55437499999999</v>
      </c>
      <c r="ER20" s="380">
        <f t="shared" si="83"/>
        <v>298.55437499999999</v>
      </c>
      <c r="ES20" s="380">
        <f t="shared" si="83"/>
        <v>258.74712499999998</v>
      </c>
      <c r="ET20" s="380">
        <f t="shared" si="83"/>
        <v>79.614499999999992</v>
      </c>
      <c r="EU20" s="379">
        <f>SUM(EK20:ET20)</f>
        <v>3259.2185937500003</v>
      </c>
      <c r="EV20" s="382"/>
      <c r="EW20" s="382"/>
      <c r="EX20" s="382"/>
      <c r="EY20" s="382"/>
      <c r="EZ20" s="382"/>
      <c r="FA20" s="382"/>
      <c r="FB20" s="382"/>
      <c r="FE20" s="583"/>
      <c r="FF20" s="583"/>
      <c r="FG20" s="583"/>
      <c r="FH20" s="583"/>
    </row>
    <row r="21" spans="1:165" ht="35" customHeight="1" x14ac:dyDescent="0.3">
      <c r="A21" s="330" t="s">
        <v>1822</v>
      </c>
      <c r="B21" s="318" t="s">
        <v>1614</v>
      </c>
      <c r="C21" s="318" t="s">
        <v>64</v>
      </c>
      <c r="D21" s="318" t="s">
        <v>79</v>
      </c>
      <c r="E21" s="318" t="s">
        <v>8</v>
      </c>
      <c r="F21" s="318" t="s">
        <v>943</v>
      </c>
      <c r="G21" s="318" t="s">
        <v>724</v>
      </c>
      <c r="H21" s="318" t="s">
        <v>1615</v>
      </c>
      <c r="I21" s="318" t="s">
        <v>1616</v>
      </c>
      <c r="J21" s="318" t="s">
        <v>1045</v>
      </c>
      <c r="K21" s="318" t="s">
        <v>1047</v>
      </c>
      <c r="L21" s="318" t="s">
        <v>1055</v>
      </c>
      <c r="M21" s="318" t="s">
        <v>1060</v>
      </c>
      <c r="N21" s="318" t="s">
        <v>1069</v>
      </c>
      <c r="O21" s="318" t="s">
        <v>1371</v>
      </c>
      <c r="P21" s="318" t="s">
        <v>1077</v>
      </c>
      <c r="Q21" s="318" t="s">
        <v>1082</v>
      </c>
      <c r="R21" s="318" t="s">
        <v>1086</v>
      </c>
      <c r="S21" s="318" t="s">
        <v>1091</v>
      </c>
      <c r="T21" s="318" t="s">
        <v>104</v>
      </c>
      <c r="U21" s="318" t="s">
        <v>104</v>
      </c>
      <c r="V21" s="318" t="s">
        <v>104</v>
      </c>
      <c r="W21" s="318" t="s">
        <v>104</v>
      </c>
      <c r="X21" s="318" t="s">
        <v>104</v>
      </c>
      <c r="Y21" s="318" t="s">
        <v>104</v>
      </c>
      <c r="Z21" s="318" t="s">
        <v>104</v>
      </c>
      <c r="AA21" s="318" t="s">
        <v>104</v>
      </c>
      <c r="AB21" s="318" t="s">
        <v>104</v>
      </c>
      <c r="AC21" s="318" t="s">
        <v>104</v>
      </c>
      <c r="AD21" s="318" t="s">
        <v>1771</v>
      </c>
      <c r="AE21" s="318">
        <v>128</v>
      </c>
      <c r="AF21" s="318">
        <v>60</v>
      </c>
      <c r="AG21" s="318">
        <v>2022</v>
      </c>
      <c r="AH21" s="318" t="s">
        <v>800</v>
      </c>
      <c r="AI21" s="318">
        <f t="shared" si="67"/>
        <v>2022</v>
      </c>
      <c r="AJ21" s="318" t="str">
        <f t="shared" si="66"/>
        <v>Estimated</v>
      </c>
      <c r="AK21" s="318"/>
      <c r="AL21" s="318"/>
      <c r="AM21" s="317">
        <f t="shared" si="6"/>
        <v>361380.6</v>
      </c>
      <c r="AN21" s="318" t="s">
        <v>800</v>
      </c>
      <c r="AO21" s="511">
        <f t="shared" si="7"/>
        <v>0</v>
      </c>
      <c r="AP21" s="511">
        <f t="shared" si="72"/>
        <v>361380.6</v>
      </c>
      <c r="AQ21" s="511">
        <f t="shared" si="8"/>
        <v>9069.1299999999992</v>
      </c>
      <c r="AR21" s="511">
        <f t="shared" si="73"/>
        <v>352311.47</v>
      </c>
      <c r="AS21" s="511">
        <f>HLOOKUP($C$1,'Inflation Adjustments'!$BI$3:$BT$4,2)*CR21</f>
        <v>415587.68999999994</v>
      </c>
      <c r="AT21" s="511">
        <f>IF(BU21="In Service",'Maintenace Cost Assumptions'!$B$3*AS21,0)</f>
        <v>2077.9384499999996</v>
      </c>
      <c r="AU21" s="318">
        <v>4</v>
      </c>
      <c r="AV21" s="318">
        <v>4</v>
      </c>
      <c r="AW21" s="318">
        <v>4</v>
      </c>
      <c r="AX21" s="318">
        <v>4</v>
      </c>
      <c r="AY21" s="318">
        <v>4</v>
      </c>
      <c r="AZ21" s="318">
        <v>4</v>
      </c>
      <c r="BA21" s="318">
        <v>2</v>
      </c>
      <c r="BB21" s="318"/>
      <c r="BC21" s="318"/>
      <c r="BD21" s="318"/>
      <c r="BE21" s="318">
        <v>4</v>
      </c>
      <c r="BF21" s="318"/>
      <c r="BG21" s="332">
        <f>(AU21*'Condition rating weights'!H$8+AV21*'Condition rating weights'!I$8+AW21*'Condition rating weights'!J$8+AX21*'Condition rating weights'!K$8+AY21*'Condition rating weights'!L$8+AZ21*'Condition rating weights'!M$8+BA21*'Condition rating weights'!N$8+BB21*'Condition rating weights'!O$8+BC21*'Condition rating weights'!P$8+BD21*'Condition rating weights'!Q$8+BE21*'Condition rating weights'!R$8+BF21*'Condition rating weights'!S$8)/100</f>
        <v>0.76</v>
      </c>
      <c r="BH21" s="333">
        <v>2</v>
      </c>
      <c r="BI21" s="333">
        <v>111</v>
      </c>
      <c r="BJ21" s="333" t="s">
        <v>12</v>
      </c>
      <c r="BK21" s="333" t="s">
        <v>959</v>
      </c>
      <c r="BL21" s="333" t="s">
        <v>960</v>
      </c>
      <c r="BM21" s="333" t="s">
        <v>961</v>
      </c>
      <c r="BN21" s="333" t="s">
        <v>117</v>
      </c>
      <c r="BO21" s="333" t="s">
        <v>962</v>
      </c>
      <c r="BP21" s="333" t="s">
        <v>962</v>
      </c>
      <c r="BQ21" s="333" t="s">
        <v>963</v>
      </c>
      <c r="BR21" s="333" t="s">
        <v>964</v>
      </c>
      <c r="BS21" s="333" t="s">
        <v>964</v>
      </c>
      <c r="BT21" s="334" t="s">
        <v>965</v>
      </c>
      <c r="BU21" s="335" t="s">
        <v>1430</v>
      </c>
      <c r="BV21" s="255"/>
      <c r="BY21" s="144"/>
      <c r="BZ21" s="144"/>
      <c r="CA21" s="144"/>
      <c r="CB21" s="144"/>
      <c r="CC21" s="144"/>
      <c r="CD21" s="144"/>
      <c r="CE21" s="144"/>
      <c r="CF21" s="144"/>
      <c r="CG21" s="144"/>
      <c r="CH21" s="378">
        <f t="shared" si="9"/>
        <v>25600</v>
      </c>
      <c r="CI21" s="378">
        <f t="shared" si="10"/>
        <v>102400</v>
      </c>
      <c r="CJ21" s="378">
        <f t="shared" si="11"/>
        <v>9600</v>
      </c>
      <c r="CK21" s="378">
        <f t="shared" si="12"/>
        <v>29440</v>
      </c>
      <c r="CL21" s="378">
        <f t="shared" si="13"/>
        <v>44800</v>
      </c>
      <c r="CM21" s="378">
        <f t="shared" si="14"/>
        <v>19200</v>
      </c>
      <c r="CN21" s="378">
        <f t="shared" si="15"/>
        <v>12800</v>
      </c>
      <c r="CO21" s="378">
        <f t="shared" si="16"/>
        <v>12800</v>
      </c>
      <c r="CP21" s="378">
        <f t="shared" si="17"/>
        <v>16640</v>
      </c>
      <c r="CQ21" s="378">
        <f t="shared" si="18"/>
        <v>5120</v>
      </c>
      <c r="CR21" s="354">
        <f>SUM(CH21:CQ21)</f>
        <v>278400</v>
      </c>
      <c r="CS21" s="379">
        <f>(HLOOKUP($AI21,'Inflation Adjustments'!$B$3:$BT$4,2,TRUE))*CH21</f>
        <v>33230.399999999994</v>
      </c>
      <c r="CT21" s="379">
        <f>(HLOOKUP($AI21,'Inflation Adjustments'!$B$3:$BT$4,2,TRUE))*CI21</f>
        <v>132921.59999999998</v>
      </c>
      <c r="CU21" s="379">
        <f>(HLOOKUP($AI21,'Inflation Adjustments'!$B$3:$BT$4,2,TRUE))*CJ21</f>
        <v>12461.4</v>
      </c>
      <c r="CV21" s="379">
        <f>(HLOOKUP($AI21,'Inflation Adjustments'!$B$3:$BT$4,2,TRUE))*CK21</f>
        <v>38214.959999999999</v>
      </c>
      <c r="CW21" s="379">
        <f>(HLOOKUP($AI21,'Inflation Adjustments'!$B$3:$BT$4,2,TRUE))*CL21</f>
        <v>58153.2</v>
      </c>
      <c r="CX21" s="379">
        <f>(HLOOKUP($AI21,'Inflation Adjustments'!$B$3:$BT$4,2,TRUE))*CM21</f>
        <v>24922.799999999999</v>
      </c>
      <c r="CY21" s="379">
        <f>(HLOOKUP($AI21,'Inflation Adjustments'!$B$3:$BT$4,2,TRUE))*CN21</f>
        <v>16615.199999999997</v>
      </c>
      <c r="CZ21" s="379">
        <f>(HLOOKUP($AI21,'Inflation Adjustments'!$B$3:$BT$4,2,TRUE))*CO21</f>
        <v>16615.199999999997</v>
      </c>
      <c r="DA21" s="379">
        <f>(HLOOKUP($AI21,'Inflation Adjustments'!$B$3:$BT$4,2,TRUE))*CP21</f>
        <v>21599.759999999998</v>
      </c>
      <c r="DB21" s="379">
        <f>(HLOOKUP($AI21,'Inflation Adjustments'!$B$3:$BT$4,2,TRUE))*CQ21</f>
        <v>6646.08</v>
      </c>
      <c r="DC21" s="379">
        <f t="shared" si="19"/>
        <v>361380.6</v>
      </c>
      <c r="DD21" s="354">
        <f t="shared" si="20"/>
        <v>0</v>
      </c>
      <c r="DE21" s="378">
        <f t="shared" si="21"/>
        <v>60</v>
      </c>
      <c r="DF21" s="378">
        <f t="shared" si="22"/>
        <v>60</v>
      </c>
      <c r="DG21" s="378">
        <f t="shared" si="23"/>
        <v>20</v>
      </c>
      <c r="DH21" s="378">
        <f t="shared" si="24"/>
        <v>30</v>
      </c>
      <c r="DI21" s="378">
        <f t="shared" si="25"/>
        <v>60</v>
      </c>
      <c r="DJ21" s="378">
        <f t="shared" si="26"/>
        <v>30</v>
      </c>
      <c r="DK21" s="378">
        <f t="shared" si="27"/>
        <v>20</v>
      </c>
      <c r="DL21" s="378">
        <f t="shared" si="28"/>
        <v>20</v>
      </c>
      <c r="DM21" s="378">
        <f t="shared" si="29"/>
        <v>30</v>
      </c>
      <c r="DN21" s="378">
        <f t="shared" si="30"/>
        <v>30</v>
      </c>
      <c r="DO21" s="380">
        <f t="shared" si="82"/>
        <v>553.83999999999992</v>
      </c>
      <c r="DP21" s="380">
        <f t="shared" si="82"/>
        <v>2215.3599999999997</v>
      </c>
      <c r="DQ21" s="380">
        <f t="shared" si="82"/>
        <v>623.06999999999994</v>
      </c>
      <c r="DR21" s="380">
        <f t="shared" si="82"/>
        <v>1273.8319999999999</v>
      </c>
      <c r="DS21" s="380">
        <f t="shared" si="82"/>
        <v>969.21999999999991</v>
      </c>
      <c r="DT21" s="380">
        <f t="shared" si="82"/>
        <v>830.76</v>
      </c>
      <c r="DU21" s="380">
        <f t="shared" si="82"/>
        <v>830.75999999999988</v>
      </c>
      <c r="DV21" s="380">
        <f t="shared" si="82"/>
        <v>830.75999999999988</v>
      </c>
      <c r="DW21" s="380">
        <f t="shared" si="82"/>
        <v>719.99199999999996</v>
      </c>
      <c r="DX21" s="380">
        <f t="shared" si="82"/>
        <v>221.536</v>
      </c>
      <c r="DY21" s="380">
        <f>SUM(DO21:DX21)</f>
        <v>9069.1299999999992</v>
      </c>
      <c r="DZ21" s="378">
        <f t="shared" si="41"/>
        <v>0</v>
      </c>
      <c r="EA21" s="378">
        <f t="shared" si="42"/>
        <v>0</v>
      </c>
      <c r="EB21" s="378">
        <f t="shared" si="43"/>
        <v>0</v>
      </c>
      <c r="EC21" s="378">
        <f t="shared" si="44"/>
        <v>0</v>
      </c>
      <c r="ED21" s="378">
        <f t="shared" si="45"/>
        <v>0</v>
      </c>
      <c r="EE21" s="378">
        <f t="shared" si="46"/>
        <v>0</v>
      </c>
      <c r="EF21" s="378">
        <f t="shared" si="47"/>
        <v>0</v>
      </c>
      <c r="EG21" s="378">
        <f t="shared" si="48"/>
        <v>0</v>
      </c>
      <c r="EH21" s="378">
        <f t="shared" si="49"/>
        <v>0</v>
      </c>
      <c r="EI21" s="378">
        <f t="shared" si="50"/>
        <v>0</v>
      </c>
      <c r="EJ21" s="354">
        <f>SUM(DZ21:EI21)</f>
        <v>0</v>
      </c>
      <c r="EK21" s="380">
        <f t="shared" si="83"/>
        <v>553.83999999999992</v>
      </c>
      <c r="EL21" s="380">
        <f t="shared" si="83"/>
        <v>2215.3599999999997</v>
      </c>
      <c r="EM21" s="380">
        <f t="shared" si="83"/>
        <v>623.06999999999994</v>
      </c>
      <c r="EN21" s="380">
        <f t="shared" si="83"/>
        <v>1273.8319999999999</v>
      </c>
      <c r="EO21" s="380">
        <f t="shared" si="83"/>
        <v>969.21999999999991</v>
      </c>
      <c r="EP21" s="380">
        <f t="shared" si="83"/>
        <v>830.76</v>
      </c>
      <c r="EQ21" s="380">
        <f t="shared" si="83"/>
        <v>830.75999999999988</v>
      </c>
      <c r="ER21" s="380">
        <f t="shared" si="83"/>
        <v>830.75999999999988</v>
      </c>
      <c r="ES21" s="380">
        <f t="shared" si="83"/>
        <v>719.99199999999996</v>
      </c>
      <c r="ET21" s="380">
        <f t="shared" si="83"/>
        <v>221.536</v>
      </c>
      <c r="EU21" s="379">
        <f>SUM(EK21:ET21)</f>
        <v>9069.1299999999992</v>
      </c>
      <c r="EV21" s="382"/>
      <c r="EW21" s="382"/>
      <c r="EX21" s="382"/>
      <c r="EY21" s="382"/>
      <c r="EZ21" s="382"/>
      <c r="FA21" s="382"/>
      <c r="FB21" s="382"/>
      <c r="FE21" s="583"/>
      <c r="FF21" s="583"/>
      <c r="FG21" s="583"/>
      <c r="FH21" s="583"/>
    </row>
    <row r="22" spans="1:165" ht="35" customHeight="1" x14ac:dyDescent="0.3">
      <c r="A22" s="318"/>
      <c r="B22" s="318"/>
      <c r="C22" s="318"/>
      <c r="D22" s="318"/>
      <c r="E22" s="318"/>
      <c r="F22" s="318"/>
      <c r="G22" s="318"/>
      <c r="H22" s="318"/>
      <c r="I22" s="318"/>
      <c r="J22" s="318"/>
      <c r="K22" s="318"/>
      <c r="L22" s="318"/>
      <c r="M22" s="318"/>
      <c r="N22" s="318"/>
      <c r="O22" s="318"/>
      <c r="P22" s="318"/>
      <c r="Q22" s="318"/>
      <c r="R22" s="318"/>
      <c r="S22" s="318"/>
      <c r="T22" s="318"/>
      <c r="U22" s="318"/>
      <c r="V22" s="318"/>
      <c r="W22" s="318"/>
      <c r="X22" s="318"/>
      <c r="Y22" s="318"/>
      <c r="Z22" s="318"/>
      <c r="AA22" s="318"/>
      <c r="AB22" s="318"/>
      <c r="AC22" s="318"/>
      <c r="AD22" s="318"/>
      <c r="AE22" s="318"/>
      <c r="AF22" s="318"/>
      <c r="AG22" s="318"/>
      <c r="AH22" s="318"/>
      <c r="AI22" s="318"/>
      <c r="AJ22" s="318"/>
      <c r="AK22" s="318"/>
      <c r="AL22" s="318"/>
      <c r="AM22" s="317"/>
      <c r="AN22" s="318"/>
      <c r="AO22" s="511" t="e">
        <f t="shared" ref="AO22:AO28" si="84">EJ22+FA22</f>
        <v>#N/A</v>
      </c>
      <c r="AP22" s="511" t="e">
        <f t="shared" ref="AP22:AP28" si="85">EK22+FB22</f>
        <v>#N/A</v>
      </c>
      <c r="AQ22" s="511" t="e">
        <f t="shared" ref="AQ22:AQ28" si="86">EL22+FC22</f>
        <v>#N/A</v>
      </c>
      <c r="AR22" s="511" t="e">
        <f t="shared" ref="AR22:AR28" si="87">EM22+FD22</f>
        <v>#N/A</v>
      </c>
      <c r="AS22" s="511" t="e">
        <f t="shared" ref="AS22:AS28" si="88">EN22+FE22</f>
        <v>#N/A</v>
      </c>
      <c r="AT22" s="511" t="e">
        <f t="shared" ref="AT22:AT28" si="89">EO22+FF22</f>
        <v>#N/A</v>
      </c>
      <c r="AU22" s="318"/>
      <c r="AV22" s="318"/>
      <c r="AW22" s="318"/>
      <c r="AX22" s="318"/>
      <c r="AY22" s="318"/>
      <c r="AZ22" s="318"/>
      <c r="BA22" s="318"/>
      <c r="BB22" s="318"/>
      <c r="BC22" s="318"/>
      <c r="BD22" s="318"/>
      <c r="BE22" s="318"/>
      <c r="BF22" s="318"/>
      <c r="BG22" s="332">
        <f>(AU22*'Condition rating weights'!H$8+AV22*'Condition rating weights'!I$8+AW22*'Condition rating weights'!J$8+AX22*'Condition rating weights'!K$8+AY22*'Condition rating weights'!L$8+AZ22*'Condition rating weights'!M$8+BA22*'Condition rating weights'!N$8+BB22*'Condition rating weights'!O$8+BC22*'Condition rating weights'!P$8+BD22*'Condition rating weights'!Q$8+BE22*'Condition rating weights'!R$8+BF22*'Condition rating weights'!S$8)/100</f>
        <v>0</v>
      </c>
      <c r="BH22" s="333"/>
      <c r="BI22" s="333"/>
      <c r="BJ22" s="333"/>
      <c r="BK22" s="333"/>
      <c r="BL22" s="333"/>
      <c r="BM22" s="333"/>
      <c r="BN22" s="333"/>
      <c r="BO22" s="333"/>
      <c r="BP22" s="333"/>
      <c r="BQ22" s="333"/>
      <c r="BR22" s="333"/>
      <c r="BS22" s="333"/>
      <c r="BT22" s="334"/>
      <c r="BU22" s="335"/>
      <c r="BV22" s="144"/>
      <c r="BY22" s="376"/>
      <c r="BZ22" s="373"/>
      <c r="CA22" s="373"/>
      <c r="CB22" s="373"/>
      <c r="CC22" s="373"/>
      <c r="CD22" s="373"/>
      <c r="CE22" s="373"/>
      <c r="CF22" s="373"/>
      <c r="CG22" s="373"/>
      <c r="CH22" s="378" t="e">
        <f t="shared" ref="CH22:CH30" si="90">(HLOOKUP(T22,$BZ$4:$CC$14,2,TRUE))*$AE22</f>
        <v>#N/A</v>
      </c>
      <c r="CI22" s="378" t="e">
        <f t="shared" ref="CI22:CI30" si="91">(HLOOKUP(U22,$BZ$4:$CC$14,3,TRUE))*$AE22</f>
        <v>#N/A</v>
      </c>
      <c r="CJ22" s="378" t="e">
        <f t="shared" ref="CJ22:CJ30" si="92">(HLOOKUP(V22,$BZ$4:$CC$14,4,TRUE))*$AE22/BH22</f>
        <v>#N/A</v>
      </c>
      <c r="CK22" s="378" t="e">
        <f t="shared" ref="CK22:CK30" si="93">(HLOOKUP(W22,$BZ$4:$CC$14,5,TRUE))*$AE22</f>
        <v>#N/A</v>
      </c>
      <c r="CL22" s="378" t="e">
        <f t="shared" ref="CL22:CL30" si="94">(HLOOKUP(X22,$BZ$4:$CC$14,6,TRUE))*$AE22</f>
        <v>#N/A</v>
      </c>
      <c r="CM22" s="378" t="e">
        <f t="shared" ref="CM22:CM30" si="95">(HLOOKUP(Y22,$BZ$4:$CC$14,7,TRUE))*$AE22</f>
        <v>#N/A</v>
      </c>
      <c r="CN22" s="378" t="e">
        <f t="shared" ref="CN22:CN30" si="96">(HLOOKUP(Z22,$BZ$4:$CC$14,8,FALSE))*$AE22</f>
        <v>#N/A</v>
      </c>
      <c r="CO22" s="378" t="e">
        <f t="shared" ref="CO22:CO30" si="97">(HLOOKUP(AA22,$BZ$4:$CC$14,9,FALSE))*$AE22</f>
        <v>#N/A</v>
      </c>
      <c r="CP22" s="378" t="e">
        <f t="shared" ref="CP22:CP30" si="98">(HLOOKUP(AB22,$BZ$4:$CC$14,10,FALSE))*$AE22</f>
        <v>#N/A</v>
      </c>
      <c r="CQ22" s="378" t="e">
        <f t="shared" ref="CQ22:CQ30" si="99">(HLOOKUP(AC22,$BZ$4:$CC$14,11,FALSE))*$AE22</f>
        <v>#N/A</v>
      </c>
      <c r="CR22" s="354" t="e">
        <f t="shared" ref="CR22:CR30" si="100">SUM(CH22:CQ22)</f>
        <v>#N/A</v>
      </c>
      <c r="CS22" s="379" t="e">
        <f>(HLOOKUP($AI22,'Inflation Adjustments'!$B$3:$BT$4,2,TRUE))*CH22</f>
        <v>#N/A</v>
      </c>
      <c r="CT22" s="379" t="e">
        <f>(HLOOKUP($AI22,'Inflation Adjustments'!$B$3:$BT$4,2,TRUE))*CI22</f>
        <v>#N/A</v>
      </c>
      <c r="CU22" s="379" t="e">
        <f>(HLOOKUP($AI22,'Inflation Adjustments'!$B$3:$BT$4,2,TRUE))*CJ22</f>
        <v>#N/A</v>
      </c>
      <c r="CV22" s="379" t="e">
        <f>(HLOOKUP($AI22,'Inflation Adjustments'!$B$3:$BT$4,2,TRUE))*CK22</f>
        <v>#N/A</v>
      </c>
      <c r="CW22" s="379" t="e">
        <f>(HLOOKUP($AI22,'Inflation Adjustments'!$B$3:$BT$4,2,TRUE))*CL22</f>
        <v>#N/A</v>
      </c>
      <c r="CX22" s="379" t="e">
        <f>(HLOOKUP($AI22,'Inflation Adjustments'!$B$3:$BT$4,2,TRUE))*CM22</f>
        <v>#N/A</v>
      </c>
      <c r="CY22" s="379" t="e">
        <f>(HLOOKUP($AI22,'Inflation Adjustments'!$B$3:$BT$4,2,TRUE))*CN22</f>
        <v>#N/A</v>
      </c>
      <c r="CZ22" s="379" t="e">
        <f>(HLOOKUP($AI22,'Inflation Adjustments'!$B$3:$BT$4,2,TRUE))*CO22</f>
        <v>#N/A</v>
      </c>
      <c r="DA22" s="379" t="e">
        <f>(HLOOKUP($AI22,'Inflation Adjustments'!$B$3:$BT$4,2,TRUE))*CP22</f>
        <v>#N/A</v>
      </c>
      <c r="DB22" s="379" t="e">
        <f>(HLOOKUP($AI22,'Inflation Adjustments'!$B$3:$BT$4,2,TRUE))*CQ22</f>
        <v>#N/A</v>
      </c>
      <c r="DC22" s="379" t="e">
        <f t="shared" ref="DC22:DC30" si="101">SUM(CS22:DB22)</f>
        <v>#N/A</v>
      </c>
      <c r="DD22" s="354">
        <f t="shared" ref="DD22:DD30" si="102">IF(($C$1-AI22-1)&lt;0,0,$C$1-AI22-1)</f>
        <v>2022</v>
      </c>
      <c r="DE22" s="378" t="e">
        <f t="shared" ref="DE22:DE30" si="103">(HLOOKUP(T22,$CD$4:$CG$14,2,FALSE))</f>
        <v>#N/A</v>
      </c>
      <c r="DF22" s="378" t="e">
        <f t="shared" ref="DF22:DF30" si="104">(HLOOKUP(U22,$CD$4:$CG$14,3,FALSE))</f>
        <v>#N/A</v>
      </c>
      <c r="DG22" s="378" t="e">
        <f t="shared" ref="DG22:DG30" si="105">(HLOOKUP(V22,$CD$4:$CG$14,4,FALSE))</f>
        <v>#N/A</v>
      </c>
      <c r="DH22" s="378" t="e">
        <f t="shared" ref="DH22:DH30" si="106">(HLOOKUP(W22,$CD$4:$CG$14,5,FALSE))</f>
        <v>#N/A</v>
      </c>
      <c r="DI22" s="378" t="e">
        <f t="shared" ref="DI22:DI30" si="107">(HLOOKUP(X22,$CD$4:$CG$14,6,FALSE))</f>
        <v>#N/A</v>
      </c>
      <c r="DJ22" s="378" t="e">
        <f t="shared" ref="DJ22:DJ30" si="108">(HLOOKUP(Y22,$CD$4:$CG$14,7,FALSE))</f>
        <v>#N/A</v>
      </c>
      <c r="DK22" s="378" t="e">
        <f t="shared" ref="DK22:DK30" si="109">(HLOOKUP(Z22,$CD$4:$CG$14,8,FALSE))</f>
        <v>#N/A</v>
      </c>
      <c r="DL22" s="378" t="e">
        <f t="shared" ref="DL22:DL30" si="110">(HLOOKUP(AA22,$CD$4:$CG$14,8,FALSE))</f>
        <v>#N/A</v>
      </c>
      <c r="DM22" s="378" t="e">
        <f t="shared" ref="DM22:DM30" si="111">(HLOOKUP(AB22,$CD$4:$CG$14,9))</f>
        <v>#N/A</v>
      </c>
      <c r="DN22" s="378" t="e">
        <f t="shared" ref="DN22:DN30" si="112">(HLOOKUP(AC22,$CD$4:$CG$14,10))</f>
        <v>#N/A</v>
      </c>
      <c r="DO22" s="380" t="e">
        <f t="shared" ref="DO22:DO30" si="113">CS22/DE22</f>
        <v>#N/A</v>
      </c>
      <c r="DP22" s="380" t="e">
        <f t="shared" ref="DP22:DP30" si="114">CT22/DF22</f>
        <v>#N/A</v>
      </c>
      <c r="DQ22" s="380" t="e">
        <f t="shared" ref="DQ22:DQ30" si="115">CU22/DG22</f>
        <v>#N/A</v>
      </c>
      <c r="DR22" s="380" t="e">
        <f t="shared" ref="DR22:DR30" si="116">CV22/DH22</f>
        <v>#N/A</v>
      </c>
      <c r="DS22" s="380" t="e">
        <f t="shared" ref="DS22:DS30" si="117">CW22/DI22</f>
        <v>#N/A</v>
      </c>
      <c r="DT22" s="380" t="e">
        <f t="shared" ref="DT22:DT30" si="118">CX22/DJ22</f>
        <v>#N/A</v>
      </c>
      <c r="DU22" s="380" t="e">
        <f t="shared" ref="DU22:DU30" si="119">CY22/DK22</f>
        <v>#N/A</v>
      </c>
      <c r="DV22" s="380" t="e">
        <f t="shared" ref="DV22:DV30" si="120">CZ22/DL22</f>
        <v>#N/A</v>
      </c>
      <c r="DW22" s="380" t="e">
        <f t="shared" ref="DW22:DW30" si="121">DA22/DM22</f>
        <v>#N/A</v>
      </c>
      <c r="DX22" s="380" t="e">
        <f t="shared" ref="DX22:DX30" si="122">DB22/DN22</f>
        <v>#N/A</v>
      </c>
      <c r="DY22" s="380" t="e">
        <f t="shared" ref="DY22:DY30" si="123">SUM(DO22:DX22)</f>
        <v>#N/A</v>
      </c>
      <c r="DZ22" s="378" t="e">
        <f t="shared" ref="DZ22:DZ30" si="124">IF(DO22*$DD22&gt;CS22,CS22,DO22*$DD22)</f>
        <v>#N/A</v>
      </c>
      <c r="EA22" s="378" t="e">
        <f t="shared" ref="EA22:EA30" si="125">IF(DP22*$DD22&gt;CT22,CT22,DP22*$DD22)</f>
        <v>#N/A</v>
      </c>
      <c r="EB22" s="378" t="e">
        <f t="shared" ref="EB22:EB30" si="126">IF(DQ22*$DD22&gt;CU22,CU22,DQ22*$DD22)</f>
        <v>#N/A</v>
      </c>
      <c r="EC22" s="378" t="e">
        <f t="shared" ref="EC22:EC30" si="127">IF(DR22*$DD22&gt;CV22,CV22,DR22*$DD22)</f>
        <v>#N/A</v>
      </c>
      <c r="ED22" s="378" t="e">
        <f t="shared" ref="ED22:ED30" si="128">IF(DS22*$DD22&gt;CW22,CW22,DS22*$DD22)</f>
        <v>#N/A</v>
      </c>
      <c r="EE22" s="378" t="e">
        <f t="shared" ref="EE22:EE30" si="129">IF(DT22*$DD22&gt;CX22,CX22,DT22*$DD22)</f>
        <v>#N/A</v>
      </c>
      <c r="EF22" s="378" t="e">
        <f t="shared" ref="EF22:EF30" si="130">IF(DU22*$DD22&gt;CY22,CY22,DU22*$DD22)</f>
        <v>#N/A</v>
      </c>
      <c r="EG22" s="378" t="e">
        <f t="shared" ref="EG22:EG30" si="131">IF(DV22*$DD22&gt;CZ22,CZ22,DV22*$DD22)</f>
        <v>#N/A</v>
      </c>
      <c r="EH22" s="378" t="e">
        <f t="shared" ref="EH22:EH30" si="132">IF(DW22*$DD22&gt;DA22,DA22,DW22*$DD22)</f>
        <v>#N/A</v>
      </c>
      <c r="EI22" s="378" t="e">
        <f t="shared" ref="EI22:EI30" si="133">IF(DX22*$DD22&gt;DB22,DB22,DX22*$DD22)</f>
        <v>#N/A</v>
      </c>
      <c r="EJ22" s="354" t="e">
        <f t="shared" ref="EJ22:EJ30" si="134">SUM(DZ22:EI22)</f>
        <v>#N/A</v>
      </c>
      <c r="EK22" s="380" t="e">
        <f t="shared" ref="EK22:EK30" si="135">IF(DO22&lt;(CS22-DZ22),DO22,(CS22-DZ22))</f>
        <v>#N/A</v>
      </c>
      <c r="EL22" s="380" t="e">
        <f t="shared" ref="EL22:EL30" si="136">IF(DP22&lt;(CT22-EA22),DP22,(CT22-EA22))</f>
        <v>#N/A</v>
      </c>
      <c r="EM22" s="380" t="e">
        <f t="shared" ref="EM22:EM30" si="137">IF(DQ22&lt;(CU22-EB22),DQ22,(CU22-EB22))</f>
        <v>#N/A</v>
      </c>
      <c r="EN22" s="380" t="e">
        <f t="shared" ref="EN22:EN30" si="138">IF(DR22&lt;(CV22-EC22),DR22,(CV22-EC22))</f>
        <v>#N/A</v>
      </c>
      <c r="EO22" s="380" t="e">
        <f t="shared" ref="EO22:EO30" si="139">IF(DS22&lt;(CW22-ED22),DS22,(CW22-ED22))</f>
        <v>#N/A</v>
      </c>
      <c r="EP22" s="380" t="e">
        <f t="shared" ref="EP22:EP30" si="140">IF(DT22&lt;(CX22-EE22),DT22,(CX22-EE22))</f>
        <v>#N/A</v>
      </c>
      <c r="EQ22" s="380" t="e">
        <f t="shared" ref="EQ22:EQ30" si="141">IF(DU22&lt;(CY22-EF22),DU22,(CY22-EF22))</f>
        <v>#N/A</v>
      </c>
      <c r="ER22" s="380" t="e">
        <f t="shared" ref="ER22:ER30" si="142">IF(DV22&lt;(CZ22-EG22),DV22,(CZ22-EG22))</f>
        <v>#N/A</v>
      </c>
      <c r="ES22" s="380" t="e">
        <f t="shared" ref="ES22:ES30" si="143">IF(DW22&lt;(DA22-EH22),DW22,(DA22-EH22))</f>
        <v>#N/A</v>
      </c>
      <c r="ET22" s="380" t="e">
        <f t="shared" ref="ET22:ET30" si="144">IF(DX22&lt;(DB22-EI22),DX22,(DB22-EI22))</f>
        <v>#N/A</v>
      </c>
      <c r="EU22" s="379" t="e">
        <f t="shared" ref="EU22:EU30" si="145">SUM(EK22:ET22)</f>
        <v>#N/A</v>
      </c>
      <c r="EV22" s="382"/>
      <c r="EW22" s="382"/>
      <c r="EX22" s="382"/>
      <c r="EY22" s="382"/>
      <c r="EZ22" s="382"/>
      <c r="FA22" s="382"/>
      <c r="FB22" s="382"/>
    </row>
    <row r="23" spans="1:165" ht="35" customHeight="1" x14ac:dyDescent="0.3">
      <c r="A23" s="318"/>
      <c r="B23" s="318"/>
      <c r="C23" s="318"/>
      <c r="D23" s="318"/>
      <c r="E23" s="318"/>
      <c r="F23" s="318"/>
      <c r="G23" s="318"/>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c r="AH23" s="318"/>
      <c r="AI23" s="318"/>
      <c r="AJ23" s="318"/>
      <c r="AK23" s="318"/>
      <c r="AL23" s="318"/>
      <c r="AM23" s="317"/>
      <c r="AN23" s="318"/>
      <c r="AO23" s="511" t="e">
        <f t="shared" si="84"/>
        <v>#N/A</v>
      </c>
      <c r="AP23" s="511" t="e">
        <f t="shared" si="85"/>
        <v>#N/A</v>
      </c>
      <c r="AQ23" s="511" t="e">
        <f t="shared" si="86"/>
        <v>#N/A</v>
      </c>
      <c r="AR23" s="511" t="e">
        <f t="shared" si="87"/>
        <v>#N/A</v>
      </c>
      <c r="AS23" s="511" t="e">
        <f t="shared" si="88"/>
        <v>#N/A</v>
      </c>
      <c r="AT23" s="511" t="e">
        <f t="shared" si="89"/>
        <v>#N/A</v>
      </c>
      <c r="AU23" s="318"/>
      <c r="AV23" s="318"/>
      <c r="AW23" s="318"/>
      <c r="AX23" s="318"/>
      <c r="AY23" s="318"/>
      <c r="AZ23" s="318"/>
      <c r="BA23" s="318"/>
      <c r="BB23" s="318"/>
      <c r="BC23" s="318"/>
      <c r="BD23" s="318"/>
      <c r="BE23" s="318"/>
      <c r="BF23" s="318"/>
      <c r="BG23" s="332">
        <f>(AU23*'Condition rating weights'!H$8+AV23*'Condition rating weights'!I$8+AW23*'Condition rating weights'!J$8+AX23*'Condition rating weights'!K$8+AY23*'Condition rating weights'!L$8+AZ23*'Condition rating weights'!M$8+BA23*'Condition rating weights'!N$8+BB23*'Condition rating weights'!O$8+BC23*'Condition rating weights'!P$8+BD23*'Condition rating weights'!Q$8+BE23*'Condition rating weights'!R$8+BF23*'Condition rating weights'!S$8)/100</f>
        <v>0</v>
      </c>
      <c r="BH23" s="333"/>
      <c r="BI23" s="333"/>
      <c r="BJ23" s="333"/>
      <c r="BK23" s="333"/>
      <c r="BL23" s="333"/>
      <c r="BM23" s="333"/>
      <c r="BN23" s="333"/>
      <c r="BO23" s="333"/>
      <c r="BP23" s="333"/>
      <c r="BQ23" s="333"/>
      <c r="BR23" s="333"/>
      <c r="BS23" s="333"/>
      <c r="BT23" s="334"/>
      <c r="BU23" s="335"/>
      <c r="BV23" s="144"/>
      <c r="BY23" s="376"/>
      <c r="BZ23" s="373"/>
      <c r="CA23" s="373"/>
      <c r="CB23" s="373"/>
      <c r="CC23" s="373"/>
      <c r="CD23" s="373"/>
      <c r="CE23" s="373"/>
      <c r="CF23" s="373"/>
      <c r="CG23" s="373"/>
      <c r="CH23" s="378" t="e">
        <f t="shared" si="90"/>
        <v>#N/A</v>
      </c>
      <c r="CI23" s="378" t="e">
        <f t="shared" si="91"/>
        <v>#N/A</v>
      </c>
      <c r="CJ23" s="378" t="e">
        <f t="shared" si="92"/>
        <v>#N/A</v>
      </c>
      <c r="CK23" s="378" t="e">
        <f t="shared" si="93"/>
        <v>#N/A</v>
      </c>
      <c r="CL23" s="378" t="e">
        <f t="shared" si="94"/>
        <v>#N/A</v>
      </c>
      <c r="CM23" s="378" t="e">
        <f t="shared" si="95"/>
        <v>#N/A</v>
      </c>
      <c r="CN23" s="378" t="e">
        <f t="shared" si="96"/>
        <v>#N/A</v>
      </c>
      <c r="CO23" s="378" t="e">
        <f t="shared" si="97"/>
        <v>#N/A</v>
      </c>
      <c r="CP23" s="378" t="e">
        <f t="shared" si="98"/>
        <v>#N/A</v>
      </c>
      <c r="CQ23" s="378" t="e">
        <f t="shared" si="99"/>
        <v>#N/A</v>
      </c>
      <c r="CR23" s="354" t="e">
        <f t="shared" si="100"/>
        <v>#N/A</v>
      </c>
      <c r="CS23" s="379" t="e">
        <f>(HLOOKUP($AI23,'Inflation Adjustments'!$B$3:$BT$4,2,TRUE))*CH23</f>
        <v>#N/A</v>
      </c>
      <c r="CT23" s="379" t="e">
        <f>(HLOOKUP($AI23,'Inflation Adjustments'!$B$3:$BT$4,2,TRUE))*CI23</f>
        <v>#N/A</v>
      </c>
      <c r="CU23" s="379" t="e">
        <f>(HLOOKUP($AI23,'Inflation Adjustments'!$B$3:$BT$4,2,TRUE))*CJ23</f>
        <v>#N/A</v>
      </c>
      <c r="CV23" s="379" t="e">
        <f>(HLOOKUP($AI23,'Inflation Adjustments'!$B$3:$BT$4,2,TRUE))*CK23</f>
        <v>#N/A</v>
      </c>
      <c r="CW23" s="379" t="e">
        <f>(HLOOKUP($AI23,'Inflation Adjustments'!$B$3:$BT$4,2,TRUE))*CL23</f>
        <v>#N/A</v>
      </c>
      <c r="CX23" s="379" t="e">
        <f>(HLOOKUP($AI23,'Inflation Adjustments'!$B$3:$BT$4,2,TRUE))*CM23</f>
        <v>#N/A</v>
      </c>
      <c r="CY23" s="379" t="e">
        <f>(HLOOKUP($AI23,'Inflation Adjustments'!$B$3:$BT$4,2,TRUE))*CN23</f>
        <v>#N/A</v>
      </c>
      <c r="CZ23" s="379" t="e">
        <f>(HLOOKUP($AI23,'Inflation Adjustments'!$B$3:$BT$4,2,TRUE))*CO23</f>
        <v>#N/A</v>
      </c>
      <c r="DA23" s="379" t="e">
        <f>(HLOOKUP($AI23,'Inflation Adjustments'!$B$3:$BT$4,2,TRUE))*CP23</f>
        <v>#N/A</v>
      </c>
      <c r="DB23" s="379" t="e">
        <f>(HLOOKUP($AI23,'Inflation Adjustments'!$B$3:$BT$4,2,TRUE))*CQ23</f>
        <v>#N/A</v>
      </c>
      <c r="DC23" s="379" t="e">
        <f t="shared" si="101"/>
        <v>#N/A</v>
      </c>
      <c r="DD23" s="354">
        <f t="shared" si="102"/>
        <v>2022</v>
      </c>
      <c r="DE23" s="378" t="e">
        <f t="shared" si="103"/>
        <v>#N/A</v>
      </c>
      <c r="DF23" s="378" t="e">
        <f t="shared" si="104"/>
        <v>#N/A</v>
      </c>
      <c r="DG23" s="378" t="e">
        <f t="shared" si="105"/>
        <v>#N/A</v>
      </c>
      <c r="DH23" s="378" t="e">
        <f t="shared" si="106"/>
        <v>#N/A</v>
      </c>
      <c r="DI23" s="378" t="e">
        <f t="shared" si="107"/>
        <v>#N/A</v>
      </c>
      <c r="DJ23" s="378" t="e">
        <f t="shared" si="108"/>
        <v>#N/A</v>
      </c>
      <c r="DK23" s="378" t="e">
        <f t="shared" si="109"/>
        <v>#N/A</v>
      </c>
      <c r="DL23" s="378" t="e">
        <f t="shared" si="110"/>
        <v>#N/A</v>
      </c>
      <c r="DM23" s="378" t="e">
        <f t="shared" si="111"/>
        <v>#N/A</v>
      </c>
      <c r="DN23" s="378" t="e">
        <f t="shared" si="112"/>
        <v>#N/A</v>
      </c>
      <c r="DO23" s="380" t="e">
        <f t="shared" si="113"/>
        <v>#N/A</v>
      </c>
      <c r="DP23" s="380" t="e">
        <f t="shared" si="114"/>
        <v>#N/A</v>
      </c>
      <c r="DQ23" s="380" t="e">
        <f t="shared" si="115"/>
        <v>#N/A</v>
      </c>
      <c r="DR23" s="380" t="e">
        <f t="shared" si="116"/>
        <v>#N/A</v>
      </c>
      <c r="DS23" s="380" t="e">
        <f t="shared" si="117"/>
        <v>#N/A</v>
      </c>
      <c r="DT23" s="380" t="e">
        <f t="shared" si="118"/>
        <v>#N/A</v>
      </c>
      <c r="DU23" s="380" t="e">
        <f t="shared" si="119"/>
        <v>#N/A</v>
      </c>
      <c r="DV23" s="380" t="e">
        <f t="shared" si="120"/>
        <v>#N/A</v>
      </c>
      <c r="DW23" s="380" t="e">
        <f t="shared" si="121"/>
        <v>#N/A</v>
      </c>
      <c r="DX23" s="380" t="e">
        <f t="shared" si="122"/>
        <v>#N/A</v>
      </c>
      <c r="DY23" s="380" t="e">
        <f t="shared" si="123"/>
        <v>#N/A</v>
      </c>
      <c r="DZ23" s="378" t="e">
        <f t="shared" si="124"/>
        <v>#N/A</v>
      </c>
      <c r="EA23" s="378" t="e">
        <f t="shared" si="125"/>
        <v>#N/A</v>
      </c>
      <c r="EB23" s="378" t="e">
        <f t="shared" si="126"/>
        <v>#N/A</v>
      </c>
      <c r="EC23" s="378" t="e">
        <f t="shared" si="127"/>
        <v>#N/A</v>
      </c>
      <c r="ED23" s="378" t="e">
        <f t="shared" si="128"/>
        <v>#N/A</v>
      </c>
      <c r="EE23" s="378" t="e">
        <f t="shared" si="129"/>
        <v>#N/A</v>
      </c>
      <c r="EF23" s="378" t="e">
        <f t="shared" si="130"/>
        <v>#N/A</v>
      </c>
      <c r="EG23" s="378" t="e">
        <f t="shared" si="131"/>
        <v>#N/A</v>
      </c>
      <c r="EH23" s="378" t="e">
        <f t="shared" si="132"/>
        <v>#N/A</v>
      </c>
      <c r="EI23" s="378" t="e">
        <f t="shared" si="133"/>
        <v>#N/A</v>
      </c>
      <c r="EJ23" s="354" t="e">
        <f t="shared" si="134"/>
        <v>#N/A</v>
      </c>
      <c r="EK23" s="380" t="e">
        <f t="shared" si="135"/>
        <v>#N/A</v>
      </c>
      <c r="EL23" s="380" t="e">
        <f t="shared" si="136"/>
        <v>#N/A</v>
      </c>
      <c r="EM23" s="380" t="e">
        <f t="shared" si="137"/>
        <v>#N/A</v>
      </c>
      <c r="EN23" s="380" t="e">
        <f t="shared" si="138"/>
        <v>#N/A</v>
      </c>
      <c r="EO23" s="380" t="e">
        <f t="shared" si="139"/>
        <v>#N/A</v>
      </c>
      <c r="EP23" s="380" t="e">
        <f t="shared" si="140"/>
        <v>#N/A</v>
      </c>
      <c r="EQ23" s="380" t="e">
        <f t="shared" si="141"/>
        <v>#N/A</v>
      </c>
      <c r="ER23" s="380" t="e">
        <f t="shared" si="142"/>
        <v>#N/A</v>
      </c>
      <c r="ES23" s="380" t="e">
        <f t="shared" si="143"/>
        <v>#N/A</v>
      </c>
      <c r="ET23" s="380" t="e">
        <f t="shared" si="144"/>
        <v>#N/A</v>
      </c>
      <c r="EU23" s="379" t="e">
        <f t="shared" si="145"/>
        <v>#N/A</v>
      </c>
      <c r="EV23" s="382"/>
      <c r="EW23" s="382"/>
      <c r="EX23" s="382"/>
      <c r="EY23" s="382"/>
      <c r="EZ23" s="382"/>
      <c r="FA23" s="382"/>
      <c r="FB23" s="382"/>
    </row>
    <row r="24" spans="1:165" ht="35" customHeight="1" x14ac:dyDescent="0.3">
      <c r="A24" s="318"/>
      <c r="B24" s="318"/>
      <c r="C24" s="318"/>
      <c r="D24" s="318"/>
      <c r="E24" s="318"/>
      <c r="F24" s="318"/>
      <c r="G24" s="318"/>
      <c r="H24" s="318"/>
      <c r="I24" s="318"/>
      <c r="J24" s="318"/>
      <c r="K24" s="318"/>
      <c r="L24" s="318"/>
      <c r="M24" s="318"/>
      <c r="N24" s="318"/>
      <c r="O24" s="318"/>
      <c r="P24" s="318"/>
      <c r="Q24" s="318"/>
      <c r="R24" s="318"/>
      <c r="S24" s="318"/>
      <c r="T24" s="318"/>
      <c r="U24" s="318"/>
      <c r="V24" s="318"/>
      <c r="W24" s="318"/>
      <c r="X24" s="318"/>
      <c r="Y24" s="318"/>
      <c r="Z24" s="318"/>
      <c r="AA24" s="318"/>
      <c r="AB24" s="318"/>
      <c r="AC24" s="318"/>
      <c r="AD24" s="318"/>
      <c r="AE24" s="318"/>
      <c r="AF24" s="318"/>
      <c r="AG24" s="318"/>
      <c r="AH24" s="318"/>
      <c r="AI24" s="318"/>
      <c r="AJ24" s="318"/>
      <c r="AK24" s="318"/>
      <c r="AL24" s="318"/>
      <c r="AM24" s="317"/>
      <c r="AN24" s="318"/>
      <c r="AO24" s="511" t="e">
        <f t="shared" si="84"/>
        <v>#N/A</v>
      </c>
      <c r="AP24" s="511" t="e">
        <f t="shared" si="85"/>
        <v>#N/A</v>
      </c>
      <c r="AQ24" s="511" t="e">
        <f t="shared" si="86"/>
        <v>#N/A</v>
      </c>
      <c r="AR24" s="511" t="e">
        <f t="shared" si="87"/>
        <v>#N/A</v>
      </c>
      <c r="AS24" s="511" t="e">
        <f t="shared" si="88"/>
        <v>#N/A</v>
      </c>
      <c r="AT24" s="511" t="e">
        <f t="shared" si="89"/>
        <v>#N/A</v>
      </c>
      <c r="AU24" s="318"/>
      <c r="AV24" s="318"/>
      <c r="AW24" s="318"/>
      <c r="AX24" s="318"/>
      <c r="AY24" s="318"/>
      <c r="AZ24" s="318"/>
      <c r="BA24" s="318"/>
      <c r="BB24" s="318"/>
      <c r="BC24" s="318"/>
      <c r="BD24" s="318"/>
      <c r="BE24" s="318"/>
      <c r="BF24" s="318"/>
      <c r="BG24" s="332">
        <f>(AU24*'Condition rating weights'!H$8+AV24*'Condition rating weights'!I$8+AW24*'Condition rating weights'!J$8+AX24*'Condition rating weights'!K$8+AY24*'Condition rating weights'!L$8+AZ24*'Condition rating weights'!M$8+BA24*'Condition rating weights'!N$8+BB24*'Condition rating weights'!O$8+BC24*'Condition rating weights'!P$8+BD24*'Condition rating weights'!Q$8+BE24*'Condition rating weights'!R$8+BF24*'Condition rating weights'!S$8)/100</f>
        <v>0</v>
      </c>
      <c r="BH24" s="333"/>
      <c r="BI24" s="333"/>
      <c r="BJ24" s="333"/>
      <c r="BK24" s="333"/>
      <c r="BL24" s="333"/>
      <c r="BM24" s="333"/>
      <c r="BN24" s="333"/>
      <c r="BO24" s="333"/>
      <c r="BP24" s="333"/>
      <c r="BQ24" s="333"/>
      <c r="BR24" s="333"/>
      <c r="BS24" s="333"/>
      <c r="BT24" s="334"/>
      <c r="BU24" s="335"/>
      <c r="BV24" s="144"/>
      <c r="BY24" s="376"/>
      <c r="BZ24" s="373"/>
      <c r="CA24" s="373"/>
      <c r="CB24" s="373"/>
      <c r="CC24" s="373"/>
      <c r="CD24" s="373"/>
      <c r="CE24" s="373"/>
      <c r="CF24" s="373"/>
      <c r="CG24" s="373"/>
      <c r="CH24" s="378" t="e">
        <f t="shared" si="90"/>
        <v>#N/A</v>
      </c>
      <c r="CI24" s="378" t="e">
        <f t="shared" si="91"/>
        <v>#N/A</v>
      </c>
      <c r="CJ24" s="378" t="e">
        <f t="shared" si="92"/>
        <v>#N/A</v>
      </c>
      <c r="CK24" s="378" t="e">
        <f t="shared" si="93"/>
        <v>#N/A</v>
      </c>
      <c r="CL24" s="378" t="e">
        <f t="shared" si="94"/>
        <v>#N/A</v>
      </c>
      <c r="CM24" s="378" t="e">
        <f t="shared" si="95"/>
        <v>#N/A</v>
      </c>
      <c r="CN24" s="378" t="e">
        <f t="shared" si="96"/>
        <v>#N/A</v>
      </c>
      <c r="CO24" s="378" t="e">
        <f t="shared" si="97"/>
        <v>#N/A</v>
      </c>
      <c r="CP24" s="378" t="e">
        <f t="shared" si="98"/>
        <v>#N/A</v>
      </c>
      <c r="CQ24" s="378" t="e">
        <f t="shared" si="99"/>
        <v>#N/A</v>
      </c>
      <c r="CR24" s="354" t="e">
        <f t="shared" si="100"/>
        <v>#N/A</v>
      </c>
      <c r="CS24" s="379" t="e">
        <f>(HLOOKUP($AI24,'Inflation Adjustments'!$B$3:$BT$4,2,TRUE))*CH24</f>
        <v>#N/A</v>
      </c>
      <c r="CT24" s="379" t="e">
        <f>(HLOOKUP($AI24,'Inflation Adjustments'!$B$3:$BT$4,2,TRUE))*CI24</f>
        <v>#N/A</v>
      </c>
      <c r="CU24" s="379" t="e">
        <f>(HLOOKUP($AI24,'Inflation Adjustments'!$B$3:$BT$4,2,TRUE))*CJ24</f>
        <v>#N/A</v>
      </c>
      <c r="CV24" s="379" t="e">
        <f>(HLOOKUP($AI24,'Inflation Adjustments'!$B$3:$BT$4,2,TRUE))*CK24</f>
        <v>#N/A</v>
      </c>
      <c r="CW24" s="379" t="e">
        <f>(HLOOKUP($AI24,'Inflation Adjustments'!$B$3:$BT$4,2,TRUE))*CL24</f>
        <v>#N/A</v>
      </c>
      <c r="CX24" s="379" t="e">
        <f>(HLOOKUP($AI24,'Inflation Adjustments'!$B$3:$BT$4,2,TRUE))*CM24</f>
        <v>#N/A</v>
      </c>
      <c r="CY24" s="379" t="e">
        <f>(HLOOKUP($AI24,'Inflation Adjustments'!$B$3:$BT$4,2,TRUE))*CN24</f>
        <v>#N/A</v>
      </c>
      <c r="CZ24" s="379" t="e">
        <f>(HLOOKUP($AI24,'Inflation Adjustments'!$B$3:$BT$4,2,TRUE))*CO24</f>
        <v>#N/A</v>
      </c>
      <c r="DA24" s="379" t="e">
        <f>(HLOOKUP($AI24,'Inflation Adjustments'!$B$3:$BT$4,2,TRUE))*CP24</f>
        <v>#N/A</v>
      </c>
      <c r="DB24" s="379" t="e">
        <f>(HLOOKUP($AI24,'Inflation Adjustments'!$B$3:$BT$4,2,TRUE))*CQ24</f>
        <v>#N/A</v>
      </c>
      <c r="DC24" s="379" t="e">
        <f t="shared" si="101"/>
        <v>#N/A</v>
      </c>
      <c r="DD24" s="354">
        <f t="shared" si="102"/>
        <v>2022</v>
      </c>
      <c r="DE24" s="378" t="e">
        <f t="shared" si="103"/>
        <v>#N/A</v>
      </c>
      <c r="DF24" s="378" t="e">
        <f t="shared" si="104"/>
        <v>#N/A</v>
      </c>
      <c r="DG24" s="378" t="e">
        <f t="shared" si="105"/>
        <v>#N/A</v>
      </c>
      <c r="DH24" s="378" t="e">
        <f t="shared" si="106"/>
        <v>#N/A</v>
      </c>
      <c r="DI24" s="378" t="e">
        <f t="shared" si="107"/>
        <v>#N/A</v>
      </c>
      <c r="DJ24" s="378" t="e">
        <f t="shared" si="108"/>
        <v>#N/A</v>
      </c>
      <c r="DK24" s="378" t="e">
        <f t="shared" si="109"/>
        <v>#N/A</v>
      </c>
      <c r="DL24" s="378" t="e">
        <f t="shared" si="110"/>
        <v>#N/A</v>
      </c>
      <c r="DM24" s="378" t="e">
        <f t="shared" si="111"/>
        <v>#N/A</v>
      </c>
      <c r="DN24" s="378" t="e">
        <f t="shared" si="112"/>
        <v>#N/A</v>
      </c>
      <c r="DO24" s="380" t="e">
        <f t="shared" si="113"/>
        <v>#N/A</v>
      </c>
      <c r="DP24" s="380" t="e">
        <f t="shared" si="114"/>
        <v>#N/A</v>
      </c>
      <c r="DQ24" s="380" t="e">
        <f t="shared" si="115"/>
        <v>#N/A</v>
      </c>
      <c r="DR24" s="380" t="e">
        <f t="shared" si="116"/>
        <v>#N/A</v>
      </c>
      <c r="DS24" s="380" t="e">
        <f t="shared" si="117"/>
        <v>#N/A</v>
      </c>
      <c r="DT24" s="380" t="e">
        <f t="shared" si="118"/>
        <v>#N/A</v>
      </c>
      <c r="DU24" s="380" t="e">
        <f t="shared" si="119"/>
        <v>#N/A</v>
      </c>
      <c r="DV24" s="380" t="e">
        <f t="shared" si="120"/>
        <v>#N/A</v>
      </c>
      <c r="DW24" s="380" t="e">
        <f t="shared" si="121"/>
        <v>#N/A</v>
      </c>
      <c r="DX24" s="380" t="e">
        <f t="shared" si="122"/>
        <v>#N/A</v>
      </c>
      <c r="DY24" s="380" t="e">
        <f t="shared" si="123"/>
        <v>#N/A</v>
      </c>
      <c r="DZ24" s="378" t="e">
        <f t="shared" si="124"/>
        <v>#N/A</v>
      </c>
      <c r="EA24" s="378" t="e">
        <f t="shared" si="125"/>
        <v>#N/A</v>
      </c>
      <c r="EB24" s="378" t="e">
        <f t="shared" si="126"/>
        <v>#N/A</v>
      </c>
      <c r="EC24" s="378" t="e">
        <f t="shared" si="127"/>
        <v>#N/A</v>
      </c>
      <c r="ED24" s="378" t="e">
        <f t="shared" si="128"/>
        <v>#N/A</v>
      </c>
      <c r="EE24" s="378" t="e">
        <f t="shared" si="129"/>
        <v>#N/A</v>
      </c>
      <c r="EF24" s="378" t="e">
        <f t="shared" si="130"/>
        <v>#N/A</v>
      </c>
      <c r="EG24" s="378" t="e">
        <f t="shared" si="131"/>
        <v>#N/A</v>
      </c>
      <c r="EH24" s="378" t="e">
        <f t="shared" si="132"/>
        <v>#N/A</v>
      </c>
      <c r="EI24" s="378" t="e">
        <f t="shared" si="133"/>
        <v>#N/A</v>
      </c>
      <c r="EJ24" s="354" t="e">
        <f t="shared" si="134"/>
        <v>#N/A</v>
      </c>
      <c r="EK24" s="380" t="e">
        <f t="shared" si="135"/>
        <v>#N/A</v>
      </c>
      <c r="EL24" s="380" t="e">
        <f t="shared" si="136"/>
        <v>#N/A</v>
      </c>
      <c r="EM24" s="380" t="e">
        <f t="shared" si="137"/>
        <v>#N/A</v>
      </c>
      <c r="EN24" s="380" t="e">
        <f t="shared" si="138"/>
        <v>#N/A</v>
      </c>
      <c r="EO24" s="380" t="e">
        <f t="shared" si="139"/>
        <v>#N/A</v>
      </c>
      <c r="EP24" s="380" t="e">
        <f t="shared" si="140"/>
        <v>#N/A</v>
      </c>
      <c r="EQ24" s="380" t="e">
        <f t="shared" si="141"/>
        <v>#N/A</v>
      </c>
      <c r="ER24" s="380" t="e">
        <f t="shared" si="142"/>
        <v>#N/A</v>
      </c>
      <c r="ES24" s="380" t="e">
        <f t="shared" si="143"/>
        <v>#N/A</v>
      </c>
      <c r="ET24" s="380" t="e">
        <f t="shared" si="144"/>
        <v>#N/A</v>
      </c>
      <c r="EU24" s="379" t="e">
        <f t="shared" si="145"/>
        <v>#N/A</v>
      </c>
      <c r="EV24" s="382"/>
      <c r="EW24" s="382"/>
      <c r="EX24" s="382"/>
      <c r="EY24" s="382"/>
      <c r="EZ24" s="382"/>
      <c r="FA24" s="382"/>
      <c r="FB24" s="382"/>
    </row>
    <row r="25" spans="1:165" ht="35" customHeight="1" x14ac:dyDescent="0.3">
      <c r="A25" s="318"/>
      <c r="B25" s="318"/>
      <c r="C25" s="318"/>
      <c r="D25" s="318"/>
      <c r="E25" s="318"/>
      <c r="F25" s="318"/>
      <c r="G25" s="318"/>
      <c r="H25" s="318"/>
      <c r="I25" s="318"/>
      <c r="J25" s="318"/>
      <c r="K25" s="318"/>
      <c r="L25" s="318"/>
      <c r="M25" s="318"/>
      <c r="N25" s="318"/>
      <c r="O25" s="318"/>
      <c r="P25" s="318"/>
      <c r="Q25" s="318"/>
      <c r="R25" s="318"/>
      <c r="S25" s="318"/>
      <c r="T25" s="318"/>
      <c r="U25" s="318"/>
      <c r="V25" s="318"/>
      <c r="W25" s="318"/>
      <c r="X25" s="318"/>
      <c r="Y25" s="318"/>
      <c r="Z25" s="318"/>
      <c r="AA25" s="318"/>
      <c r="AB25" s="318"/>
      <c r="AC25" s="318"/>
      <c r="AD25" s="318"/>
      <c r="AE25" s="318"/>
      <c r="AF25" s="318"/>
      <c r="AG25" s="318"/>
      <c r="AH25" s="318"/>
      <c r="AI25" s="318"/>
      <c r="AJ25" s="318"/>
      <c r="AK25" s="318"/>
      <c r="AL25" s="318"/>
      <c r="AM25" s="317"/>
      <c r="AN25" s="318"/>
      <c r="AO25" s="511" t="e">
        <f t="shared" si="84"/>
        <v>#N/A</v>
      </c>
      <c r="AP25" s="511" t="e">
        <f t="shared" si="85"/>
        <v>#N/A</v>
      </c>
      <c r="AQ25" s="511" t="e">
        <f t="shared" si="86"/>
        <v>#N/A</v>
      </c>
      <c r="AR25" s="511" t="e">
        <f t="shared" si="87"/>
        <v>#N/A</v>
      </c>
      <c r="AS25" s="511" t="e">
        <f t="shared" si="88"/>
        <v>#N/A</v>
      </c>
      <c r="AT25" s="511" t="e">
        <f t="shared" si="89"/>
        <v>#N/A</v>
      </c>
      <c r="AU25" s="318"/>
      <c r="AV25" s="318"/>
      <c r="AW25" s="318"/>
      <c r="AX25" s="318"/>
      <c r="AY25" s="318"/>
      <c r="AZ25" s="318"/>
      <c r="BA25" s="318"/>
      <c r="BB25" s="318"/>
      <c r="BC25" s="318"/>
      <c r="BD25" s="318"/>
      <c r="BE25" s="318"/>
      <c r="BF25" s="318"/>
      <c r="BG25" s="332">
        <f>(AU25*'Condition rating weights'!H$8+AV25*'Condition rating weights'!I$8+AW25*'Condition rating weights'!J$8+AX25*'Condition rating weights'!K$8+AY25*'Condition rating weights'!L$8+AZ25*'Condition rating weights'!M$8+BA25*'Condition rating weights'!N$8+BB25*'Condition rating weights'!O$8+BC25*'Condition rating weights'!P$8+BD25*'Condition rating weights'!Q$8+BE25*'Condition rating weights'!R$8+BF25*'Condition rating weights'!S$8)/100</f>
        <v>0</v>
      </c>
      <c r="BH25" s="333"/>
      <c r="BI25" s="333"/>
      <c r="BJ25" s="333"/>
      <c r="BK25" s="333"/>
      <c r="BL25" s="333"/>
      <c r="BM25" s="333"/>
      <c r="BN25" s="333"/>
      <c r="BO25" s="333"/>
      <c r="BP25" s="333"/>
      <c r="BQ25" s="333"/>
      <c r="BR25" s="333"/>
      <c r="BS25" s="333"/>
      <c r="BT25" s="334"/>
      <c r="BU25" s="335"/>
      <c r="BV25" s="144"/>
      <c r="BY25" s="376"/>
      <c r="BZ25" s="373"/>
      <c r="CA25" s="373"/>
      <c r="CB25" s="373"/>
      <c r="CC25" s="373"/>
      <c r="CD25" s="373"/>
      <c r="CE25" s="373"/>
      <c r="CF25" s="373"/>
      <c r="CG25" s="373"/>
      <c r="CH25" s="378" t="e">
        <f t="shared" si="90"/>
        <v>#N/A</v>
      </c>
      <c r="CI25" s="378" t="e">
        <f t="shared" si="91"/>
        <v>#N/A</v>
      </c>
      <c r="CJ25" s="378" t="e">
        <f t="shared" si="92"/>
        <v>#N/A</v>
      </c>
      <c r="CK25" s="378" t="e">
        <f t="shared" si="93"/>
        <v>#N/A</v>
      </c>
      <c r="CL25" s="378" t="e">
        <f t="shared" si="94"/>
        <v>#N/A</v>
      </c>
      <c r="CM25" s="378" t="e">
        <f t="shared" si="95"/>
        <v>#N/A</v>
      </c>
      <c r="CN25" s="378" t="e">
        <f t="shared" si="96"/>
        <v>#N/A</v>
      </c>
      <c r="CO25" s="378" t="e">
        <f t="shared" si="97"/>
        <v>#N/A</v>
      </c>
      <c r="CP25" s="378" t="e">
        <f t="shared" si="98"/>
        <v>#N/A</v>
      </c>
      <c r="CQ25" s="378" t="e">
        <f t="shared" si="99"/>
        <v>#N/A</v>
      </c>
      <c r="CR25" s="354" t="e">
        <f t="shared" si="100"/>
        <v>#N/A</v>
      </c>
      <c r="CS25" s="379" t="e">
        <f>(HLOOKUP($AI25,'Inflation Adjustments'!$B$3:$BT$4,2,TRUE))*CH25</f>
        <v>#N/A</v>
      </c>
      <c r="CT25" s="379" t="e">
        <f>(HLOOKUP($AI25,'Inflation Adjustments'!$B$3:$BT$4,2,TRUE))*CI25</f>
        <v>#N/A</v>
      </c>
      <c r="CU25" s="379" t="e">
        <f>(HLOOKUP($AI25,'Inflation Adjustments'!$B$3:$BT$4,2,TRUE))*CJ25</f>
        <v>#N/A</v>
      </c>
      <c r="CV25" s="379" t="e">
        <f>(HLOOKUP($AI25,'Inflation Adjustments'!$B$3:$BT$4,2,TRUE))*CK25</f>
        <v>#N/A</v>
      </c>
      <c r="CW25" s="379" t="e">
        <f>(HLOOKUP($AI25,'Inflation Adjustments'!$B$3:$BT$4,2,TRUE))*CL25</f>
        <v>#N/A</v>
      </c>
      <c r="CX25" s="379" t="e">
        <f>(HLOOKUP($AI25,'Inflation Adjustments'!$B$3:$BT$4,2,TRUE))*CM25</f>
        <v>#N/A</v>
      </c>
      <c r="CY25" s="379" t="e">
        <f>(HLOOKUP($AI25,'Inflation Adjustments'!$B$3:$BT$4,2,TRUE))*CN25</f>
        <v>#N/A</v>
      </c>
      <c r="CZ25" s="379" t="e">
        <f>(HLOOKUP($AI25,'Inflation Adjustments'!$B$3:$BT$4,2,TRUE))*CO25</f>
        <v>#N/A</v>
      </c>
      <c r="DA25" s="379" t="e">
        <f>(HLOOKUP($AI25,'Inflation Adjustments'!$B$3:$BT$4,2,TRUE))*CP25</f>
        <v>#N/A</v>
      </c>
      <c r="DB25" s="379" t="e">
        <f>(HLOOKUP($AI25,'Inflation Adjustments'!$B$3:$BT$4,2,TRUE))*CQ25</f>
        <v>#N/A</v>
      </c>
      <c r="DC25" s="379" t="e">
        <f t="shared" si="101"/>
        <v>#N/A</v>
      </c>
      <c r="DD25" s="354">
        <f t="shared" si="102"/>
        <v>2022</v>
      </c>
      <c r="DE25" s="378" t="e">
        <f t="shared" si="103"/>
        <v>#N/A</v>
      </c>
      <c r="DF25" s="378" t="e">
        <f t="shared" si="104"/>
        <v>#N/A</v>
      </c>
      <c r="DG25" s="378" t="e">
        <f t="shared" si="105"/>
        <v>#N/A</v>
      </c>
      <c r="DH25" s="378" t="e">
        <f t="shared" si="106"/>
        <v>#N/A</v>
      </c>
      <c r="DI25" s="378" t="e">
        <f t="shared" si="107"/>
        <v>#N/A</v>
      </c>
      <c r="DJ25" s="378" t="e">
        <f t="shared" si="108"/>
        <v>#N/A</v>
      </c>
      <c r="DK25" s="378" t="e">
        <f t="shared" si="109"/>
        <v>#N/A</v>
      </c>
      <c r="DL25" s="378" t="e">
        <f t="shared" si="110"/>
        <v>#N/A</v>
      </c>
      <c r="DM25" s="378" t="e">
        <f t="shared" si="111"/>
        <v>#N/A</v>
      </c>
      <c r="DN25" s="378" t="e">
        <f t="shared" si="112"/>
        <v>#N/A</v>
      </c>
      <c r="DO25" s="380" t="e">
        <f t="shared" si="113"/>
        <v>#N/A</v>
      </c>
      <c r="DP25" s="380" t="e">
        <f t="shared" si="114"/>
        <v>#N/A</v>
      </c>
      <c r="DQ25" s="380" t="e">
        <f t="shared" si="115"/>
        <v>#N/A</v>
      </c>
      <c r="DR25" s="380" t="e">
        <f t="shared" si="116"/>
        <v>#N/A</v>
      </c>
      <c r="DS25" s="380" t="e">
        <f t="shared" si="117"/>
        <v>#N/A</v>
      </c>
      <c r="DT25" s="380" t="e">
        <f t="shared" si="118"/>
        <v>#N/A</v>
      </c>
      <c r="DU25" s="380" t="e">
        <f t="shared" si="119"/>
        <v>#N/A</v>
      </c>
      <c r="DV25" s="380" t="e">
        <f t="shared" si="120"/>
        <v>#N/A</v>
      </c>
      <c r="DW25" s="380" t="e">
        <f t="shared" si="121"/>
        <v>#N/A</v>
      </c>
      <c r="DX25" s="380" t="e">
        <f t="shared" si="122"/>
        <v>#N/A</v>
      </c>
      <c r="DY25" s="380" t="e">
        <f t="shared" si="123"/>
        <v>#N/A</v>
      </c>
      <c r="DZ25" s="378" t="e">
        <f t="shared" si="124"/>
        <v>#N/A</v>
      </c>
      <c r="EA25" s="378" t="e">
        <f t="shared" si="125"/>
        <v>#N/A</v>
      </c>
      <c r="EB25" s="378" t="e">
        <f t="shared" si="126"/>
        <v>#N/A</v>
      </c>
      <c r="EC25" s="378" t="e">
        <f t="shared" si="127"/>
        <v>#N/A</v>
      </c>
      <c r="ED25" s="378" t="e">
        <f t="shared" si="128"/>
        <v>#N/A</v>
      </c>
      <c r="EE25" s="378" t="e">
        <f t="shared" si="129"/>
        <v>#N/A</v>
      </c>
      <c r="EF25" s="378" t="e">
        <f t="shared" si="130"/>
        <v>#N/A</v>
      </c>
      <c r="EG25" s="378" t="e">
        <f t="shared" si="131"/>
        <v>#N/A</v>
      </c>
      <c r="EH25" s="378" t="e">
        <f t="shared" si="132"/>
        <v>#N/A</v>
      </c>
      <c r="EI25" s="378" t="e">
        <f t="shared" si="133"/>
        <v>#N/A</v>
      </c>
      <c r="EJ25" s="354" t="e">
        <f t="shared" si="134"/>
        <v>#N/A</v>
      </c>
      <c r="EK25" s="380" t="e">
        <f t="shared" si="135"/>
        <v>#N/A</v>
      </c>
      <c r="EL25" s="380" t="e">
        <f t="shared" si="136"/>
        <v>#N/A</v>
      </c>
      <c r="EM25" s="380" t="e">
        <f t="shared" si="137"/>
        <v>#N/A</v>
      </c>
      <c r="EN25" s="380" t="e">
        <f t="shared" si="138"/>
        <v>#N/A</v>
      </c>
      <c r="EO25" s="380" t="e">
        <f t="shared" si="139"/>
        <v>#N/A</v>
      </c>
      <c r="EP25" s="380" t="e">
        <f t="shared" si="140"/>
        <v>#N/A</v>
      </c>
      <c r="EQ25" s="380" t="e">
        <f t="shared" si="141"/>
        <v>#N/A</v>
      </c>
      <c r="ER25" s="380" t="e">
        <f t="shared" si="142"/>
        <v>#N/A</v>
      </c>
      <c r="ES25" s="380" t="e">
        <f t="shared" si="143"/>
        <v>#N/A</v>
      </c>
      <c r="ET25" s="380" t="e">
        <f t="shared" si="144"/>
        <v>#N/A</v>
      </c>
      <c r="EU25" s="379" t="e">
        <f t="shared" si="145"/>
        <v>#N/A</v>
      </c>
      <c r="EV25" s="382"/>
      <c r="EW25" s="382"/>
      <c r="EX25" s="382"/>
      <c r="EY25" s="382"/>
      <c r="EZ25" s="382"/>
      <c r="FA25" s="382"/>
      <c r="FB25" s="382"/>
    </row>
    <row r="26" spans="1:165" ht="35" customHeight="1" x14ac:dyDescent="0.3">
      <c r="A26" s="318"/>
      <c r="B26" s="318"/>
      <c r="C26" s="318"/>
      <c r="D26" s="318"/>
      <c r="E26" s="318"/>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8"/>
      <c r="AM26" s="317"/>
      <c r="AN26" s="318"/>
      <c r="AO26" s="511" t="e">
        <f t="shared" si="84"/>
        <v>#N/A</v>
      </c>
      <c r="AP26" s="511" t="e">
        <f t="shared" si="85"/>
        <v>#N/A</v>
      </c>
      <c r="AQ26" s="511" t="e">
        <f t="shared" si="86"/>
        <v>#N/A</v>
      </c>
      <c r="AR26" s="511" t="e">
        <f t="shared" si="87"/>
        <v>#N/A</v>
      </c>
      <c r="AS26" s="511" t="e">
        <f t="shared" si="88"/>
        <v>#N/A</v>
      </c>
      <c r="AT26" s="511" t="e">
        <f t="shared" si="89"/>
        <v>#N/A</v>
      </c>
      <c r="AU26" s="318"/>
      <c r="AV26" s="318"/>
      <c r="AW26" s="318"/>
      <c r="AX26" s="318"/>
      <c r="AY26" s="318"/>
      <c r="AZ26" s="318"/>
      <c r="BA26" s="318"/>
      <c r="BB26" s="318"/>
      <c r="BC26" s="318"/>
      <c r="BD26" s="318"/>
      <c r="BE26" s="318"/>
      <c r="BF26" s="318"/>
      <c r="BG26" s="332">
        <f>(AU26*'Condition rating weights'!H$8+AV26*'Condition rating weights'!I$8+AW26*'Condition rating weights'!J$8+AX26*'Condition rating weights'!K$8+AY26*'Condition rating weights'!L$8+AZ26*'Condition rating weights'!M$8+BA26*'Condition rating weights'!N$8+BB26*'Condition rating weights'!O$8+BC26*'Condition rating weights'!P$8+BD26*'Condition rating weights'!Q$8+BE26*'Condition rating weights'!R$8+BF26*'Condition rating weights'!S$8)/100</f>
        <v>0</v>
      </c>
      <c r="BH26" s="333"/>
      <c r="BI26" s="333"/>
      <c r="BJ26" s="333"/>
      <c r="BK26" s="333"/>
      <c r="BL26" s="333"/>
      <c r="BM26" s="333"/>
      <c r="BN26" s="333"/>
      <c r="BO26" s="333"/>
      <c r="BP26" s="333"/>
      <c r="BQ26" s="333"/>
      <c r="BR26" s="333"/>
      <c r="BS26" s="333"/>
      <c r="BT26" s="334"/>
      <c r="BU26" s="335"/>
      <c r="BV26" s="144"/>
      <c r="BY26" s="376"/>
      <c r="BZ26" s="373"/>
      <c r="CA26" s="373"/>
      <c r="CB26" s="373"/>
      <c r="CC26" s="373"/>
      <c r="CD26" s="373"/>
      <c r="CE26" s="373"/>
      <c r="CF26" s="373"/>
      <c r="CG26" s="373"/>
      <c r="CH26" s="378" t="e">
        <f t="shared" si="90"/>
        <v>#N/A</v>
      </c>
      <c r="CI26" s="378" t="e">
        <f t="shared" si="91"/>
        <v>#N/A</v>
      </c>
      <c r="CJ26" s="378" t="e">
        <f t="shared" si="92"/>
        <v>#N/A</v>
      </c>
      <c r="CK26" s="378" t="e">
        <f t="shared" si="93"/>
        <v>#N/A</v>
      </c>
      <c r="CL26" s="378" t="e">
        <f t="shared" si="94"/>
        <v>#N/A</v>
      </c>
      <c r="CM26" s="378" t="e">
        <f t="shared" si="95"/>
        <v>#N/A</v>
      </c>
      <c r="CN26" s="378" t="e">
        <f t="shared" si="96"/>
        <v>#N/A</v>
      </c>
      <c r="CO26" s="378" t="e">
        <f t="shared" si="97"/>
        <v>#N/A</v>
      </c>
      <c r="CP26" s="378" t="e">
        <f t="shared" si="98"/>
        <v>#N/A</v>
      </c>
      <c r="CQ26" s="378" t="e">
        <f t="shared" si="99"/>
        <v>#N/A</v>
      </c>
      <c r="CR26" s="354" t="e">
        <f t="shared" si="100"/>
        <v>#N/A</v>
      </c>
      <c r="CS26" s="379" t="e">
        <f>(HLOOKUP($AI26,'Inflation Adjustments'!$B$3:$BT$4,2,TRUE))*CH26</f>
        <v>#N/A</v>
      </c>
      <c r="CT26" s="379" t="e">
        <f>(HLOOKUP($AI26,'Inflation Adjustments'!$B$3:$BT$4,2,TRUE))*CI26</f>
        <v>#N/A</v>
      </c>
      <c r="CU26" s="379" t="e">
        <f>(HLOOKUP($AI26,'Inflation Adjustments'!$B$3:$BT$4,2,TRUE))*CJ26</f>
        <v>#N/A</v>
      </c>
      <c r="CV26" s="379" t="e">
        <f>(HLOOKUP($AI26,'Inflation Adjustments'!$B$3:$BT$4,2,TRUE))*CK26</f>
        <v>#N/A</v>
      </c>
      <c r="CW26" s="379" t="e">
        <f>(HLOOKUP($AI26,'Inflation Adjustments'!$B$3:$BT$4,2,TRUE))*CL26</f>
        <v>#N/A</v>
      </c>
      <c r="CX26" s="379" t="e">
        <f>(HLOOKUP($AI26,'Inflation Adjustments'!$B$3:$BT$4,2,TRUE))*CM26</f>
        <v>#N/A</v>
      </c>
      <c r="CY26" s="379" t="e">
        <f>(HLOOKUP($AI26,'Inflation Adjustments'!$B$3:$BT$4,2,TRUE))*CN26</f>
        <v>#N/A</v>
      </c>
      <c r="CZ26" s="379" t="e">
        <f>(HLOOKUP($AI26,'Inflation Adjustments'!$B$3:$BT$4,2,TRUE))*CO26</f>
        <v>#N/A</v>
      </c>
      <c r="DA26" s="379" t="e">
        <f>(HLOOKUP($AI26,'Inflation Adjustments'!$B$3:$BT$4,2,TRUE))*CP26</f>
        <v>#N/A</v>
      </c>
      <c r="DB26" s="379" t="e">
        <f>(HLOOKUP($AI26,'Inflation Adjustments'!$B$3:$BT$4,2,TRUE))*CQ26</f>
        <v>#N/A</v>
      </c>
      <c r="DC26" s="379" t="e">
        <f t="shared" si="101"/>
        <v>#N/A</v>
      </c>
      <c r="DD26" s="354">
        <f t="shared" si="102"/>
        <v>2022</v>
      </c>
      <c r="DE26" s="378" t="e">
        <f t="shared" si="103"/>
        <v>#N/A</v>
      </c>
      <c r="DF26" s="378" t="e">
        <f t="shared" si="104"/>
        <v>#N/A</v>
      </c>
      <c r="DG26" s="378" t="e">
        <f t="shared" si="105"/>
        <v>#N/A</v>
      </c>
      <c r="DH26" s="378" t="e">
        <f t="shared" si="106"/>
        <v>#N/A</v>
      </c>
      <c r="DI26" s="378" t="e">
        <f t="shared" si="107"/>
        <v>#N/A</v>
      </c>
      <c r="DJ26" s="378" t="e">
        <f t="shared" si="108"/>
        <v>#N/A</v>
      </c>
      <c r="DK26" s="378" t="e">
        <f t="shared" si="109"/>
        <v>#N/A</v>
      </c>
      <c r="DL26" s="378" t="e">
        <f t="shared" si="110"/>
        <v>#N/A</v>
      </c>
      <c r="DM26" s="378" t="e">
        <f t="shared" si="111"/>
        <v>#N/A</v>
      </c>
      <c r="DN26" s="378" t="e">
        <f t="shared" si="112"/>
        <v>#N/A</v>
      </c>
      <c r="DO26" s="380" t="e">
        <f t="shared" si="113"/>
        <v>#N/A</v>
      </c>
      <c r="DP26" s="380" t="e">
        <f t="shared" si="114"/>
        <v>#N/A</v>
      </c>
      <c r="DQ26" s="380" t="e">
        <f t="shared" si="115"/>
        <v>#N/A</v>
      </c>
      <c r="DR26" s="380" t="e">
        <f t="shared" si="116"/>
        <v>#N/A</v>
      </c>
      <c r="DS26" s="380" t="e">
        <f t="shared" si="117"/>
        <v>#N/A</v>
      </c>
      <c r="DT26" s="380" t="e">
        <f t="shared" si="118"/>
        <v>#N/A</v>
      </c>
      <c r="DU26" s="380" t="e">
        <f t="shared" si="119"/>
        <v>#N/A</v>
      </c>
      <c r="DV26" s="380" t="e">
        <f t="shared" si="120"/>
        <v>#N/A</v>
      </c>
      <c r="DW26" s="380" t="e">
        <f t="shared" si="121"/>
        <v>#N/A</v>
      </c>
      <c r="DX26" s="380" t="e">
        <f t="shared" si="122"/>
        <v>#N/A</v>
      </c>
      <c r="DY26" s="380" t="e">
        <f t="shared" si="123"/>
        <v>#N/A</v>
      </c>
      <c r="DZ26" s="378" t="e">
        <f t="shared" si="124"/>
        <v>#N/A</v>
      </c>
      <c r="EA26" s="378" t="e">
        <f t="shared" si="125"/>
        <v>#N/A</v>
      </c>
      <c r="EB26" s="378" t="e">
        <f t="shared" si="126"/>
        <v>#N/A</v>
      </c>
      <c r="EC26" s="378" t="e">
        <f t="shared" si="127"/>
        <v>#N/A</v>
      </c>
      <c r="ED26" s="378" t="e">
        <f t="shared" si="128"/>
        <v>#N/A</v>
      </c>
      <c r="EE26" s="378" t="e">
        <f t="shared" si="129"/>
        <v>#N/A</v>
      </c>
      <c r="EF26" s="378" t="e">
        <f t="shared" si="130"/>
        <v>#N/A</v>
      </c>
      <c r="EG26" s="378" t="e">
        <f t="shared" si="131"/>
        <v>#N/A</v>
      </c>
      <c r="EH26" s="378" t="e">
        <f t="shared" si="132"/>
        <v>#N/A</v>
      </c>
      <c r="EI26" s="378" t="e">
        <f t="shared" si="133"/>
        <v>#N/A</v>
      </c>
      <c r="EJ26" s="354" t="e">
        <f t="shared" si="134"/>
        <v>#N/A</v>
      </c>
      <c r="EK26" s="380" t="e">
        <f t="shared" si="135"/>
        <v>#N/A</v>
      </c>
      <c r="EL26" s="380" t="e">
        <f t="shared" si="136"/>
        <v>#N/A</v>
      </c>
      <c r="EM26" s="380" t="e">
        <f t="shared" si="137"/>
        <v>#N/A</v>
      </c>
      <c r="EN26" s="380" t="e">
        <f t="shared" si="138"/>
        <v>#N/A</v>
      </c>
      <c r="EO26" s="380" t="e">
        <f t="shared" si="139"/>
        <v>#N/A</v>
      </c>
      <c r="EP26" s="380" t="e">
        <f t="shared" si="140"/>
        <v>#N/A</v>
      </c>
      <c r="EQ26" s="380" t="e">
        <f t="shared" si="141"/>
        <v>#N/A</v>
      </c>
      <c r="ER26" s="380" t="e">
        <f t="shared" si="142"/>
        <v>#N/A</v>
      </c>
      <c r="ES26" s="380" t="e">
        <f t="shared" si="143"/>
        <v>#N/A</v>
      </c>
      <c r="ET26" s="380" t="e">
        <f t="shared" si="144"/>
        <v>#N/A</v>
      </c>
      <c r="EU26" s="379" t="e">
        <f t="shared" si="145"/>
        <v>#N/A</v>
      </c>
      <c r="EV26" s="382"/>
      <c r="EW26" s="382"/>
      <c r="EX26" s="382"/>
      <c r="EY26" s="382"/>
      <c r="EZ26" s="382"/>
      <c r="FA26" s="382"/>
      <c r="FB26" s="382"/>
    </row>
    <row r="27" spans="1:165" ht="35" customHeight="1" x14ac:dyDescent="0.3">
      <c r="A27" s="318"/>
      <c r="B27" s="318"/>
      <c r="C27" s="318"/>
      <c r="D27" s="318"/>
      <c r="E27" s="318"/>
      <c r="F27" s="318"/>
      <c r="G27" s="318"/>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18"/>
      <c r="AM27" s="317"/>
      <c r="AN27" s="318"/>
      <c r="AO27" s="511" t="e">
        <f t="shared" si="84"/>
        <v>#N/A</v>
      </c>
      <c r="AP27" s="511" t="e">
        <f t="shared" si="85"/>
        <v>#N/A</v>
      </c>
      <c r="AQ27" s="511" t="e">
        <f t="shared" si="86"/>
        <v>#N/A</v>
      </c>
      <c r="AR27" s="511" t="e">
        <f t="shared" si="87"/>
        <v>#N/A</v>
      </c>
      <c r="AS27" s="511" t="e">
        <f t="shared" si="88"/>
        <v>#N/A</v>
      </c>
      <c r="AT27" s="511" t="e">
        <f t="shared" si="89"/>
        <v>#N/A</v>
      </c>
      <c r="AU27" s="318"/>
      <c r="AV27" s="318"/>
      <c r="AW27" s="318"/>
      <c r="AX27" s="318"/>
      <c r="AY27" s="318"/>
      <c r="AZ27" s="318"/>
      <c r="BA27" s="318"/>
      <c r="BB27" s="318"/>
      <c r="BC27" s="318"/>
      <c r="BD27" s="318"/>
      <c r="BE27" s="318"/>
      <c r="BF27" s="318"/>
      <c r="BG27" s="332">
        <f>(AU27*'Condition rating weights'!H$8+AV27*'Condition rating weights'!I$8+AW27*'Condition rating weights'!J$8+AX27*'Condition rating weights'!K$8+AY27*'Condition rating weights'!L$8+AZ27*'Condition rating weights'!M$8+BA27*'Condition rating weights'!N$8+BB27*'Condition rating weights'!O$8+BC27*'Condition rating weights'!P$8+BD27*'Condition rating weights'!Q$8+BE27*'Condition rating weights'!R$8+BF27*'Condition rating weights'!S$8)/100</f>
        <v>0</v>
      </c>
      <c r="BH27" s="333"/>
      <c r="BI27" s="333"/>
      <c r="BJ27" s="333"/>
      <c r="BK27" s="333"/>
      <c r="BL27" s="333"/>
      <c r="BM27" s="333"/>
      <c r="BN27" s="333"/>
      <c r="BO27" s="333"/>
      <c r="BP27" s="333"/>
      <c r="BQ27" s="333"/>
      <c r="BR27" s="333"/>
      <c r="BS27" s="333"/>
      <c r="BT27" s="334"/>
      <c r="BU27" s="335"/>
      <c r="BV27" s="144"/>
      <c r="BY27" s="376"/>
      <c r="BZ27" s="373"/>
      <c r="CA27" s="373"/>
      <c r="CB27" s="373"/>
      <c r="CC27" s="373"/>
      <c r="CD27" s="373"/>
      <c r="CE27" s="373"/>
      <c r="CF27" s="373"/>
      <c r="CG27" s="373"/>
      <c r="CH27" s="378" t="e">
        <f t="shared" si="90"/>
        <v>#N/A</v>
      </c>
      <c r="CI27" s="378" t="e">
        <f t="shared" si="91"/>
        <v>#N/A</v>
      </c>
      <c r="CJ27" s="378" t="e">
        <f t="shared" si="92"/>
        <v>#N/A</v>
      </c>
      <c r="CK27" s="378" t="e">
        <f t="shared" si="93"/>
        <v>#N/A</v>
      </c>
      <c r="CL27" s="378" t="e">
        <f t="shared" si="94"/>
        <v>#N/A</v>
      </c>
      <c r="CM27" s="378" t="e">
        <f t="shared" si="95"/>
        <v>#N/A</v>
      </c>
      <c r="CN27" s="378" t="e">
        <f t="shared" si="96"/>
        <v>#N/A</v>
      </c>
      <c r="CO27" s="378" t="e">
        <f t="shared" si="97"/>
        <v>#N/A</v>
      </c>
      <c r="CP27" s="378" t="e">
        <f t="shared" si="98"/>
        <v>#N/A</v>
      </c>
      <c r="CQ27" s="378" t="e">
        <f t="shared" si="99"/>
        <v>#N/A</v>
      </c>
      <c r="CR27" s="354" t="e">
        <f t="shared" si="100"/>
        <v>#N/A</v>
      </c>
      <c r="CS27" s="379" t="e">
        <f>(HLOOKUP($AI27,'Inflation Adjustments'!$B$3:$BT$4,2,TRUE))*CH27</f>
        <v>#N/A</v>
      </c>
      <c r="CT27" s="379" t="e">
        <f>(HLOOKUP($AI27,'Inflation Adjustments'!$B$3:$BT$4,2,TRUE))*CI27</f>
        <v>#N/A</v>
      </c>
      <c r="CU27" s="379" t="e">
        <f>(HLOOKUP($AI27,'Inflation Adjustments'!$B$3:$BT$4,2,TRUE))*CJ27</f>
        <v>#N/A</v>
      </c>
      <c r="CV27" s="379" t="e">
        <f>(HLOOKUP($AI27,'Inflation Adjustments'!$B$3:$BT$4,2,TRUE))*CK27</f>
        <v>#N/A</v>
      </c>
      <c r="CW27" s="379" t="e">
        <f>(HLOOKUP($AI27,'Inflation Adjustments'!$B$3:$BT$4,2,TRUE))*CL27</f>
        <v>#N/A</v>
      </c>
      <c r="CX27" s="379" t="e">
        <f>(HLOOKUP($AI27,'Inflation Adjustments'!$B$3:$BT$4,2,TRUE))*CM27</f>
        <v>#N/A</v>
      </c>
      <c r="CY27" s="379" t="e">
        <f>(HLOOKUP($AI27,'Inflation Adjustments'!$B$3:$BT$4,2,TRUE))*CN27</f>
        <v>#N/A</v>
      </c>
      <c r="CZ27" s="379" t="e">
        <f>(HLOOKUP($AI27,'Inflation Adjustments'!$B$3:$BT$4,2,TRUE))*CO27</f>
        <v>#N/A</v>
      </c>
      <c r="DA27" s="379" t="e">
        <f>(HLOOKUP($AI27,'Inflation Adjustments'!$B$3:$BT$4,2,TRUE))*CP27</f>
        <v>#N/A</v>
      </c>
      <c r="DB27" s="379" t="e">
        <f>(HLOOKUP($AI27,'Inflation Adjustments'!$B$3:$BT$4,2,TRUE))*CQ27</f>
        <v>#N/A</v>
      </c>
      <c r="DC27" s="379" t="e">
        <f t="shared" si="101"/>
        <v>#N/A</v>
      </c>
      <c r="DD27" s="354">
        <f t="shared" si="102"/>
        <v>2022</v>
      </c>
      <c r="DE27" s="378" t="e">
        <f t="shared" si="103"/>
        <v>#N/A</v>
      </c>
      <c r="DF27" s="378" t="e">
        <f t="shared" si="104"/>
        <v>#N/A</v>
      </c>
      <c r="DG27" s="378" t="e">
        <f t="shared" si="105"/>
        <v>#N/A</v>
      </c>
      <c r="DH27" s="378" t="e">
        <f t="shared" si="106"/>
        <v>#N/A</v>
      </c>
      <c r="DI27" s="378" t="e">
        <f t="shared" si="107"/>
        <v>#N/A</v>
      </c>
      <c r="DJ27" s="378" t="e">
        <f t="shared" si="108"/>
        <v>#N/A</v>
      </c>
      <c r="DK27" s="378" t="e">
        <f t="shared" si="109"/>
        <v>#N/A</v>
      </c>
      <c r="DL27" s="378" t="e">
        <f t="shared" si="110"/>
        <v>#N/A</v>
      </c>
      <c r="DM27" s="378" t="e">
        <f t="shared" si="111"/>
        <v>#N/A</v>
      </c>
      <c r="DN27" s="378" t="e">
        <f t="shared" si="112"/>
        <v>#N/A</v>
      </c>
      <c r="DO27" s="380" t="e">
        <f t="shared" si="113"/>
        <v>#N/A</v>
      </c>
      <c r="DP27" s="380" t="e">
        <f t="shared" si="114"/>
        <v>#N/A</v>
      </c>
      <c r="DQ27" s="380" t="e">
        <f t="shared" si="115"/>
        <v>#N/A</v>
      </c>
      <c r="DR27" s="380" t="e">
        <f t="shared" si="116"/>
        <v>#N/A</v>
      </c>
      <c r="DS27" s="380" t="e">
        <f t="shared" si="117"/>
        <v>#N/A</v>
      </c>
      <c r="DT27" s="380" t="e">
        <f t="shared" si="118"/>
        <v>#N/A</v>
      </c>
      <c r="DU27" s="380" t="e">
        <f t="shared" si="119"/>
        <v>#N/A</v>
      </c>
      <c r="DV27" s="380" t="e">
        <f t="shared" si="120"/>
        <v>#N/A</v>
      </c>
      <c r="DW27" s="380" t="e">
        <f t="shared" si="121"/>
        <v>#N/A</v>
      </c>
      <c r="DX27" s="380" t="e">
        <f t="shared" si="122"/>
        <v>#N/A</v>
      </c>
      <c r="DY27" s="380" t="e">
        <f t="shared" si="123"/>
        <v>#N/A</v>
      </c>
      <c r="DZ27" s="378" t="e">
        <f t="shared" si="124"/>
        <v>#N/A</v>
      </c>
      <c r="EA27" s="378" t="e">
        <f t="shared" si="125"/>
        <v>#N/A</v>
      </c>
      <c r="EB27" s="378" t="e">
        <f t="shared" si="126"/>
        <v>#N/A</v>
      </c>
      <c r="EC27" s="378" t="e">
        <f t="shared" si="127"/>
        <v>#N/A</v>
      </c>
      <c r="ED27" s="378" t="e">
        <f t="shared" si="128"/>
        <v>#N/A</v>
      </c>
      <c r="EE27" s="378" t="e">
        <f t="shared" si="129"/>
        <v>#N/A</v>
      </c>
      <c r="EF27" s="378" t="e">
        <f t="shared" si="130"/>
        <v>#N/A</v>
      </c>
      <c r="EG27" s="378" t="e">
        <f t="shared" si="131"/>
        <v>#N/A</v>
      </c>
      <c r="EH27" s="378" t="e">
        <f t="shared" si="132"/>
        <v>#N/A</v>
      </c>
      <c r="EI27" s="378" t="e">
        <f t="shared" si="133"/>
        <v>#N/A</v>
      </c>
      <c r="EJ27" s="354" t="e">
        <f t="shared" si="134"/>
        <v>#N/A</v>
      </c>
      <c r="EK27" s="380" t="e">
        <f t="shared" si="135"/>
        <v>#N/A</v>
      </c>
      <c r="EL27" s="380" t="e">
        <f t="shared" si="136"/>
        <v>#N/A</v>
      </c>
      <c r="EM27" s="380" t="e">
        <f t="shared" si="137"/>
        <v>#N/A</v>
      </c>
      <c r="EN27" s="380" t="e">
        <f t="shared" si="138"/>
        <v>#N/A</v>
      </c>
      <c r="EO27" s="380" t="e">
        <f t="shared" si="139"/>
        <v>#N/A</v>
      </c>
      <c r="EP27" s="380" t="e">
        <f t="shared" si="140"/>
        <v>#N/A</v>
      </c>
      <c r="EQ27" s="380" t="e">
        <f t="shared" si="141"/>
        <v>#N/A</v>
      </c>
      <c r="ER27" s="380" t="e">
        <f t="shared" si="142"/>
        <v>#N/A</v>
      </c>
      <c r="ES27" s="380" t="e">
        <f t="shared" si="143"/>
        <v>#N/A</v>
      </c>
      <c r="ET27" s="380" t="e">
        <f t="shared" si="144"/>
        <v>#N/A</v>
      </c>
      <c r="EU27" s="379" t="e">
        <f t="shared" si="145"/>
        <v>#N/A</v>
      </c>
      <c r="EV27" s="382"/>
      <c r="EW27" s="382"/>
      <c r="EX27" s="382"/>
      <c r="EY27" s="382"/>
      <c r="EZ27" s="382"/>
      <c r="FA27" s="382"/>
      <c r="FB27" s="382"/>
    </row>
    <row r="28" spans="1:165" ht="35" customHeight="1" x14ac:dyDescent="0.3">
      <c r="A28" s="318"/>
      <c r="B28" s="318"/>
      <c r="C28" s="318"/>
      <c r="D28" s="318"/>
      <c r="E28" s="318"/>
      <c r="F28" s="318"/>
      <c r="G28" s="318"/>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18"/>
      <c r="AM28" s="317"/>
      <c r="AN28" s="318"/>
      <c r="AO28" s="511" t="e">
        <f t="shared" si="84"/>
        <v>#N/A</v>
      </c>
      <c r="AP28" s="511" t="e">
        <f t="shared" si="85"/>
        <v>#N/A</v>
      </c>
      <c r="AQ28" s="511" t="e">
        <f t="shared" si="86"/>
        <v>#N/A</v>
      </c>
      <c r="AR28" s="511" t="e">
        <f t="shared" si="87"/>
        <v>#N/A</v>
      </c>
      <c r="AS28" s="511" t="e">
        <f t="shared" si="88"/>
        <v>#N/A</v>
      </c>
      <c r="AT28" s="511" t="e">
        <f t="shared" si="89"/>
        <v>#N/A</v>
      </c>
      <c r="AU28" s="318"/>
      <c r="AV28" s="318"/>
      <c r="AW28" s="318"/>
      <c r="AX28" s="318"/>
      <c r="AY28" s="318"/>
      <c r="AZ28" s="318"/>
      <c r="BA28" s="318"/>
      <c r="BB28" s="318"/>
      <c r="BC28" s="318"/>
      <c r="BD28" s="318"/>
      <c r="BE28" s="318"/>
      <c r="BF28" s="318"/>
      <c r="BG28" s="332">
        <f>(AU28*'Condition rating weights'!H$8+AV28*'Condition rating weights'!I$8+AW28*'Condition rating weights'!J$8+AX28*'Condition rating weights'!K$8+AY28*'Condition rating weights'!L$8+AZ28*'Condition rating weights'!M$8+BA28*'Condition rating weights'!N$8+BB28*'Condition rating weights'!O$8+BC28*'Condition rating weights'!P$8+BD28*'Condition rating weights'!Q$8+BE28*'Condition rating weights'!R$8+BF28*'Condition rating weights'!S$8)/100</f>
        <v>0</v>
      </c>
      <c r="BH28" s="333"/>
      <c r="BI28" s="333"/>
      <c r="BJ28" s="333"/>
      <c r="BK28" s="333"/>
      <c r="BL28" s="333"/>
      <c r="BM28" s="333"/>
      <c r="BN28" s="333"/>
      <c r="BO28" s="333"/>
      <c r="BP28" s="333"/>
      <c r="BQ28" s="333"/>
      <c r="BR28" s="333"/>
      <c r="BS28" s="333"/>
      <c r="BT28" s="334"/>
      <c r="BU28" s="335"/>
      <c r="BV28" s="144"/>
      <c r="BY28" s="376"/>
      <c r="BZ28" s="373"/>
      <c r="CA28" s="373"/>
      <c r="CB28" s="373"/>
      <c r="CC28" s="373"/>
      <c r="CD28" s="373"/>
      <c r="CE28" s="373"/>
      <c r="CF28" s="373"/>
      <c r="CG28" s="373"/>
      <c r="CH28" s="378" t="e">
        <f t="shared" si="90"/>
        <v>#N/A</v>
      </c>
      <c r="CI28" s="378" t="e">
        <f t="shared" si="91"/>
        <v>#N/A</v>
      </c>
      <c r="CJ28" s="378" t="e">
        <f t="shared" si="92"/>
        <v>#N/A</v>
      </c>
      <c r="CK28" s="378" t="e">
        <f t="shared" si="93"/>
        <v>#N/A</v>
      </c>
      <c r="CL28" s="378" t="e">
        <f t="shared" si="94"/>
        <v>#N/A</v>
      </c>
      <c r="CM28" s="378" t="e">
        <f t="shared" si="95"/>
        <v>#N/A</v>
      </c>
      <c r="CN28" s="378" t="e">
        <f t="shared" si="96"/>
        <v>#N/A</v>
      </c>
      <c r="CO28" s="378" t="e">
        <f t="shared" si="97"/>
        <v>#N/A</v>
      </c>
      <c r="CP28" s="378" t="e">
        <f t="shared" si="98"/>
        <v>#N/A</v>
      </c>
      <c r="CQ28" s="378" t="e">
        <f t="shared" si="99"/>
        <v>#N/A</v>
      </c>
      <c r="CR28" s="354" t="e">
        <f t="shared" si="100"/>
        <v>#N/A</v>
      </c>
      <c r="CS28" s="379" t="e">
        <f>(HLOOKUP($AI28,'Inflation Adjustments'!$B$3:$BT$4,2,TRUE))*CH28</f>
        <v>#N/A</v>
      </c>
      <c r="CT28" s="379" t="e">
        <f>(HLOOKUP($AI28,'Inflation Adjustments'!$B$3:$BT$4,2,TRUE))*CI28</f>
        <v>#N/A</v>
      </c>
      <c r="CU28" s="379" t="e">
        <f>(HLOOKUP($AI28,'Inflation Adjustments'!$B$3:$BT$4,2,TRUE))*CJ28</f>
        <v>#N/A</v>
      </c>
      <c r="CV28" s="379" t="e">
        <f>(HLOOKUP($AI28,'Inflation Adjustments'!$B$3:$BT$4,2,TRUE))*CK28</f>
        <v>#N/A</v>
      </c>
      <c r="CW28" s="379" t="e">
        <f>(HLOOKUP($AI28,'Inflation Adjustments'!$B$3:$BT$4,2,TRUE))*CL28</f>
        <v>#N/A</v>
      </c>
      <c r="CX28" s="379" t="e">
        <f>(HLOOKUP($AI28,'Inflation Adjustments'!$B$3:$BT$4,2,TRUE))*CM28</f>
        <v>#N/A</v>
      </c>
      <c r="CY28" s="379" t="e">
        <f>(HLOOKUP($AI28,'Inflation Adjustments'!$B$3:$BT$4,2,TRUE))*CN28</f>
        <v>#N/A</v>
      </c>
      <c r="CZ28" s="379" t="e">
        <f>(HLOOKUP($AI28,'Inflation Adjustments'!$B$3:$BT$4,2,TRUE))*CO28</f>
        <v>#N/A</v>
      </c>
      <c r="DA28" s="379" t="e">
        <f>(HLOOKUP($AI28,'Inflation Adjustments'!$B$3:$BT$4,2,TRUE))*CP28</f>
        <v>#N/A</v>
      </c>
      <c r="DB28" s="379" t="e">
        <f>(HLOOKUP($AI28,'Inflation Adjustments'!$B$3:$BT$4,2,TRUE))*CQ28</f>
        <v>#N/A</v>
      </c>
      <c r="DC28" s="379" t="e">
        <f t="shared" si="101"/>
        <v>#N/A</v>
      </c>
      <c r="DD28" s="354">
        <f t="shared" si="102"/>
        <v>2022</v>
      </c>
      <c r="DE28" s="378" t="e">
        <f t="shared" si="103"/>
        <v>#N/A</v>
      </c>
      <c r="DF28" s="378" t="e">
        <f t="shared" si="104"/>
        <v>#N/A</v>
      </c>
      <c r="DG28" s="378" t="e">
        <f t="shared" si="105"/>
        <v>#N/A</v>
      </c>
      <c r="DH28" s="378" t="e">
        <f t="shared" si="106"/>
        <v>#N/A</v>
      </c>
      <c r="DI28" s="378" t="e">
        <f t="shared" si="107"/>
        <v>#N/A</v>
      </c>
      <c r="DJ28" s="378" t="e">
        <f t="shared" si="108"/>
        <v>#N/A</v>
      </c>
      <c r="DK28" s="378" t="e">
        <f t="shared" si="109"/>
        <v>#N/A</v>
      </c>
      <c r="DL28" s="378" t="e">
        <f t="shared" si="110"/>
        <v>#N/A</v>
      </c>
      <c r="DM28" s="378" t="e">
        <f t="shared" si="111"/>
        <v>#N/A</v>
      </c>
      <c r="DN28" s="378" t="e">
        <f t="shared" si="112"/>
        <v>#N/A</v>
      </c>
      <c r="DO28" s="380" t="e">
        <f t="shared" si="113"/>
        <v>#N/A</v>
      </c>
      <c r="DP28" s="380" t="e">
        <f t="shared" si="114"/>
        <v>#N/A</v>
      </c>
      <c r="DQ28" s="380" t="e">
        <f t="shared" si="115"/>
        <v>#N/A</v>
      </c>
      <c r="DR28" s="380" t="e">
        <f t="shared" si="116"/>
        <v>#N/A</v>
      </c>
      <c r="DS28" s="380" t="e">
        <f t="shared" si="117"/>
        <v>#N/A</v>
      </c>
      <c r="DT28" s="380" t="e">
        <f t="shared" si="118"/>
        <v>#N/A</v>
      </c>
      <c r="DU28" s="380" t="e">
        <f t="shared" si="119"/>
        <v>#N/A</v>
      </c>
      <c r="DV28" s="380" t="e">
        <f t="shared" si="120"/>
        <v>#N/A</v>
      </c>
      <c r="DW28" s="380" t="e">
        <f t="shared" si="121"/>
        <v>#N/A</v>
      </c>
      <c r="DX28" s="380" t="e">
        <f t="shared" si="122"/>
        <v>#N/A</v>
      </c>
      <c r="DY28" s="380" t="e">
        <f t="shared" si="123"/>
        <v>#N/A</v>
      </c>
      <c r="DZ28" s="378" t="e">
        <f t="shared" si="124"/>
        <v>#N/A</v>
      </c>
      <c r="EA28" s="378" t="e">
        <f t="shared" si="125"/>
        <v>#N/A</v>
      </c>
      <c r="EB28" s="378" t="e">
        <f t="shared" si="126"/>
        <v>#N/A</v>
      </c>
      <c r="EC28" s="378" t="e">
        <f t="shared" si="127"/>
        <v>#N/A</v>
      </c>
      <c r="ED28" s="378" t="e">
        <f t="shared" si="128"/>
        <v>#N/A</v>
      </c>
      <c r="EE28" s="378" t="e">
        <f t="shared" si="129"/>
        <v>#N/A</v>
      </c>
      <c r="EF28" s="378" t="e">
        <f t="shared" si="130"/>
        <v>#N/A</v>
      </c>
      <c r="EG28" s="378" t="e">
        <f t="shared" si="131"/>
        <v>#N/A</v>
      </c>
      <c r="EH28" s="378" t="e">
        <f t="shared" si="132"/>
        <v>#N/A</v>
      </c>
      <c r="EI28" s="378" t="e">
        <f t="shared" si="133"/>
        <v>#N/A</v>
      </c>
      <c r="EJ28" s="354" t="e">
        <f t="shared" si="134"/>
        <v>#N/A</v>
      </c>
      <c r="EK28" s="380" t="e">
        <f t="shared" si="135"/>
        <v>#N/A</v>
      </c>
      <c r="EL28" s="380" t="e">
        <f t="shared" si="136"/>
        <v>#N/A</v>
      </c>
      <c r="EM28" s="380" t="e">
        <f t="shared" si="137"/>
        <v>#N/A</v>
      </c>
      <c r="EN28" s="380" t="e">
        <f t="shared" si="138"/>
        <v>#N/A</v>
      </c>
      <c r="EO28" s="380" t="e">
        <f t="shared" si="139"/>
        <v>#N/A</v>
      </c>
      <c r="EP28" s="380" t="e">
        <f t="shared" si="140"/>
        <v>#N/A</v>
      </c>
      <c r="EQ28" s="380" t="e">
        <f t="shared" si="141"/>
        <v>#N/A</v>
      </c>
      <c r="ER28" s="380" t="e">
        <f t="shared" si="142"/>
        <v>#N/A</v>
      </c>
      <c r="ES28" s="380" t="e">
        <f t="shared" si="143"/>
        <v>#N/A</v>
      </c>
      <c r="ET28" s="380" t="e">
        <f t="shared" si="144"/>
        <v>#N/A</v>
      </c>
      <c r="EU28" s="379" t="e">
        <f t="shared" si="145"/>
        <v>#N/A</v>
      </c>
      <c r="EV28" s="382"/>
      <c r="EW28" s="382"/>
      <c r="EX28" s="382"/>
      <c r="EY28" s="382"/>
      <c r="EZ28" s="382"/>
      <c r="FA28" s="382"/>
      <c r="FB28" s="382"/>
    </row>
    <row r="29" spans="1:165" ht="35" customHeight="1" x14ac:dyDescent="0.3">
      <c r="BV29" s="144"/>
      <c r="BY29" s="376"/>
      <c r="BZ29" s="373"/>
      <c r="CA29" s="373"/>
      <c r="CB29" s="373"/>
      <c r="CC29" s="373"/>
      <c r="CD29" s="373"/>
      <c r="CE29" s="373"/>
      <c r="CF29" s="373"/>
      <c r="CG29" s="373"/>
      <c r="CH29" s="378" t="e">
        <f t="shared" si="90"/>
        <v>#N/A</v>
      </c>
      <c r="CI29" s="378" t="e">
        <f t="shared" si="91"/>
        <v>#N/A</v>
      </c>
      <c r="CJ29" s="378" t="e">
        <f t="shared" si="92"/>
        <v>#N/A</v>
      </c>
      <c r="CK29" s="378" t="e">
        <f t="shared" si="93"/>
        <v>#N/A</v>
      </c>
      <c r="CL29" s="378" t="e">
        <f t="shared" si="94"/>
        <v>#N/A</v>
      </c>
      <c r="CM29" s="378" t="e">
        <f t="shared" si="95"/>
        <v>#N/A</v>
      </c>
      <c r="CN29" s="378" t="e">
        <f t="shared" si="96"/>
        <v>#N/A</v>
      </c>
      <c r="CO29" s="378" t="e">
        <f t="shared" si="97"/>
        <v>#N/A</v>
      </c>
      <c r="CP29" s="378" t="e">
        <f t="shared" si="98"/>
        <v>#N/A</v>
      </c>
      <c r="CQ29" s="378" t="e">
        <f t="shared" si="99"/>
        <v>#N/A</v>
      </c>
      <c r="CR29" s="354" t="e">
        <f t="shared" si="100"/>
        <v>#N/A</v>
      </c>
      <c r="CS29" s="379" t="e">
        <f>(HLOOKUP($AI29,'Inflation Adjustments'!$B$3:$BT$4,2,TRUE))*CH29</f>
        <v>#N/A</v>
      </c>
      <c r="CT29" s="379" t="e">
        <f>(HLOOKUP($AI29,'Inflation Adjustments'!$B$3:$BT$4,2,TRUE))*CI29</f>
        <v>#N/A</v>
      </c>
      <c r="CU29" s="379" t="e">
        <f>(HLOOKUP($AI29,'Inflation Adjustments'!$B$3:$BT$4,2,TRUE))*CJ29</f>
        <v>#N/A</v>
      </c>
      <c r="CV29" s="379" t="e">
        <f>(HLOOKUP($AI29,'Inflation Adjustments'!$B$3:$BT$4,2,TRUE))*CK29</f>
        <v>#N/A</v>
      </c>
      <c r="CW29" s="379" t="e">
        <f>(HLOOKUP($AI29,'Inflation Adjustments'!$B$3:$BT$4,2,TRUE))*CL29</f>
        <v>#N/A</v>
      </c>
      <c r="CX29" s="379" t="e">
        <f>(HLOOKUP($AI29,'Inflation Adjustments'!$B$3:$BT$4,2,TRUE))*CM29</f>
        <v>#N/A</v>
      </c>
      <c r="CY29" s="379" t="e">
        <f>(HLOOKUP($AI29,'Inflation Adjustments'!$B$3:$BT$4,2,TRUE))*CN29</f>
        <v>#N/A</v>
      </c>
      <c r="CZ29" s="379" t="e">
        <f>(HLOOKUP($AI29,'Inflation Adjustments'!$B$3:$BT$4,2,TRUE))*CO29</f>
        <v>#N/A</v>
      </c>
      <c r="DA29" s="379" t="e">
        <f>(HLOOKUP($AI29,'Inflation Adjustments'!$B$3:$BT$4,2,TRUE))*CP29</f>
        <v>#N/A</v>
      </c>
      <c r="DB29" s="379" t="e">
        <f>(HLOOKUP($AI29,'Inflation Adjustments'!$B$3:$BT$4,2,TRUE))*CQ29</f>
        <v>#N/A</v>
      </c>
      <c r="DC29" s="379" t="e">
        <f t="shared" si="101"/>
        <v>#N/A</v>
      </c>
      <c r="DD29" s="354">
        <f t="shared" si="102"/>
        <v>2022</v>
      </c>
      <c r="DE29" s="378" t="e">
        <f t="shared" si="103"/>
        <v>#N/A</v>
      </c>
      <c r="DF29" s="378" t="e">
        <f t="shared" si="104"/>
        <v>#N/A</v>
      </c>
      <c r="DG29" s="378" t="e">
        <f t="shared" si="105"/>
        <v>#N/A</v>
      </c>
      <c r="DH29" s="378" t="e">
        <f t="shared" si="106"/>
        <v>#N/A</v>
      </c>
      <c r="DI29" s="378" t="e">
        <f t="shared" si="107"/>
        <v>#N/A</v>
      </c>
      <c r="DJ29" s="378" t="e">
        <f t="shared" si="108"/>
        <v>#N/A</v>
      </c>
      <c r="DK29" s="378" t="e">
        <f t="shared" si="109"/>
        <v>#N/A</v>
      </c>
      <c r="DL29" s="378" t="e">
        <f t="shared" si="110"/>
        <v>#N/A</v>
      </c>
      <c r="DM29" s="378" t="e">
        <f t="shared" si="111"/>
        <v>#N/A</v>
      </c>
      <c r="DN29" s="378" t="e">
        <f t="shared" si="112"/>
        <v>#N/A</v>
      </c>
      <c r="DO29" s="380" t="e">
        <f t="shared" si="113"/>
        <v>#N/A</v>
      </c>
      <c r="DP29" s="380" t="e">
        <f t="shared" si="114"/>
        <v>#N/A</v>
      </c>
      <c r="DQ29" s="380" t="e">
        <f t="shared" si="115"/>
        <v>#N/A</v>
      </c>
      <c r="DR29" s="380" t="e">
        <f t="shared" si="116"/>
        <v>#N/A</v>
      </c>
      <c r="DS29" s="380" t="e">
        <f t="shared" si="117"/>
        <v>#N/A</v>
      </c>
      <c r="DT29" s="380" t="e">
        <f t="shared" si="118"/>
        <v>#N/A</v>
      </c>
      <c r="DU29" s="380" t="e">
        <f t="shared" si="119"/>
        <v>#N/A</v>
      </c>
      <c r="DV29" s="380" t="e">
        <f t="shared" si="120"/>
        <v>#N/A</v>
      </c>
      <c r="DW29" s="380" t="e">
        <f t="shared" si="121"/>
        <v>#N/A</v>
      </c>
      <c r="DX29" s="380" t="e">
        <f t="shared" si="122"/>
        <v>#N/A</v>
      </c>
      <c r="DY29" s="380" t="e">
        <f t="shared" si="123"/>
        <v>#N/A</v>
      </c>
      <c r="DZ29" s="378" t="e">
        <f t="shared" si="124"/>
        <v>#N/A</v>
      </c>
      <c r="EA29" s="378" t="e">
        <f t="shared" si="125"/>
        <v>#N/A</v>
      </c>
      <c r="EB29" s="378" t="e">
        <f t="shared" si="126"/>
        <v>#N/A</v>
      </c>
      <c r="EC29" s="378" t="e">
        <f t="shared" si="127"/>
        <v>#N/A</v>
      </c>
      <c r="ED29" s="378" t="e">
        <f t="shared" si="128"/>
        <v>#N/A</v>
      </c>
      <c r="EE29" s="378" t="e">
        <f t="shared" si="129"/>
        <v>#N/A</v>
      </c>
      <c r="EF29" s="378" t="e">
        <f t="shared" si="130"/>
        <v>#N/A</v>
      </c>
      <c r="EG29" s="378" t="e">
        <f t="shared" si="131"/>
        <v>#N/A</v>
      </c>
      <c r="EH29" s="378" t="e">
        <f t="shared" si="132"/>
        <v>#N/A</v>
      </c>
      <c r="EI29" s="378" t="e">
        <f t="shared" si="133"/>
        <v>#N/A</v>
      </c>
      <c r="EJ29" s="354" t="e">
        <f t="shared" si="134"/>
        <v>#N/A</v>
      </c>
      <c r="EK29" s="380" t="e">
        <f t="shared" si="135"/>
        <v>#N/A</v>
      </c>
      <c r="EL29" s="380" t="e">
        <f t="shared" si="136"/>
        <v>#N/A</v>
      </c>
      <c r="EM29" s="380" t="e">
        <f t="shared" si="137"/>
        <v>#N/A</v>
      </c>
      <c r="EN29" s="380" t="e">
        <f t="shared" si="138"/>
        <v>#N/A</v>
      </c>
      <c r="EO29" s="380" t="e">
        <f t="shared" si="139"/>
        <v>#N/A</v>
      </c>
      <c r="EP29" s="380" t="e">
        <f t="shared" si="140"/>
        <v>#N/A</v>
      </c>
      <c r="EQ29" s="380" t="e">
        <f t="shared" si="141"/>
        <v>#N/A</v>
      </c>
      <c r="ER29" s="380" t="e">
        <f t="shared" si="142"/>
        <v>#N/A</v>
      </c>
      <c r="ES29" s="380" t="e">
        <f t="shared" si="143"/>
        <v>#N/A</v>
      </c>
      <c r="ET29" s="380" t="e">
        <f t="shared" si="144"/>
        <v>#N/A</v>
      </c>
      <c r="EU29" s="379" t="e">
        <f t="shared" si="145"/>
        <v>#N/A</v>
      </c>
      <c r="EV29" s="382"/>
      <c r="EW29" s="382"/>
      <c r="EX29" s="382"/>
      <c r="EY29" s="382"/>
      <c r="EZ29" s="382"/>
      <c r="FA29" s="382"/>
      <c r="FB29" s="382"/>
    </row>
    <row r="30" spans="1:165" ht="51.5" customHeight="1" x14ac:dyDescent="0.3">
      <c r="BV30" s="144"/>
      <c r="BY30" s="376"/>
      <c r="BZ30" s="373"/>
      <c r="CA30" s="373"/>
      <c r="CB30" s="373"/>
      <c r="CC30" s="373"/>
      <c r="CD30" s="373"/>
      <c r="CE30" s="373"/>
      <c r="CF30" s="373"/>
      <c r="CG30" s="373"/>
      <c r="CH30" s="378" t="e">
        <f t="shared" si="90"/>
        <v>#N/A</v>
      </c>
      <c r="CI30" s="378" t="e">
        <f t="shared" si="91"/>
        <v>#N/A</v>
      </c>
      <c r="CJ30" s="378" t="e">
        <f t="shared" si="92"/>
        <v>#N/A</v>
      </c>
      <c r="CK30" s="378" t="e">
        <f t="shared" si="93"/>
        <v>#N/A</v>
      </c>
      <c r="CL30" s="378" t="e">
        <f t="shared" si="94"/>
        <v>#N/A</v>
      </c>
      <c r="CM30" s="378" t="e">
        <f t="shared" si="95"/>
        <v>#N/A</v>
      </c>
      <c r="CN30" s="378" t="e">
        <f t="shared" si="96"/>
        <v>#N/A</v>
      </c>
      <c r="CO30" s="378" t="e">
        <f t="shared" si="97"/>
        <v>#N/A</v>
      </c>
      <c r="CP30" s="378" t="e">
        <f t="shared" si="98"/>
        <v>#N/A</v>
      </c>
      <c r="CQ30" s="378" t="e">
        <f t="shared" si="99"/>
        <v>#N/A</v>
      </c>
      <c r="CR30" s="354" t="e">
        <f t="shared" si="100"/>
        <v>#N/A</v>
      </c>
      <c r="CS30" s="379" t="e">
        <f>(HLOOKUP($AI30,'Inflation Adjustments'!$B$3:$BT$4,2,TRUE))*CH30</f>
        <v>#N/A</v>
      </c>
      <c r="CT30" s="379" t="e">
        <f>(HLOOKUP($AI30,'Inflation Adjustments'!$B$3:$BT$4,2,TRUE))*CI30</f>
        <v>#N/A</v>
      </c>
      <c r="CU30" s="379" t="e">
        <f>(HLOOKUP($AI30,'Inflation Adjustments'!$B$3:$BT$4,2,TRUE))*CJ30</f>
        <v>#N/A</v>
      </c>
      <c r="CV30" s="379" t="e">
        <f>(HLOOKUP($AI30,'Inflation Adjustments'!$B$3:$BT$4,2,TRUE))*CK30</f>
        <v>#N/A</v>
      </c>
      <c r="CW30" s="379" t="e">
        <f>(HLOOKUP($AI30,'Inflation Adjustments'!$B$3:$BT$4,2,TRUE))*CL30</f>
        <v>#N/A</v>
      </c>
      <c r="CX30" s="379" t="e">
        <f>(HLOOKUP($AI30,'Inflation Adjustments'!$B$3:$BT$4,2,TRUE))*CM30</f>
        <v>#N/A</v>
      </c>
      <c r="CY30" s="379" t="e">
        <f>(HLOOKUP($AI30,'Inflation Adjustments'!$B$3:$BT$4,2,TRUE))*CN30</f>
        <v>#N/A</v>
      </c>
      <c r="CZ30" s="379" t="e">
        <f>(HLOOKUP($AI30,'Inflation Adjustments'!$B$3:$BT$4,2,TRUE))*CO30</f>
        <v>#N/A</v>
      </c>
      <c r="DA30" s="379" t="e">
        <f>(HLOOKUP($AI30,'Inflation Adjustments'!$B$3:$BT$4,2,TRUE))*CP30</f>
        <v>#N/A</v>
      </c>
      <c r="DB30" s="379" t="e">
        <f>(HLOOKUP($AI30,'Inflation Adjustments'!$B$3:$BT$4,2,TRUE))*CQ30</f>
        <v>#N/A</v>
      </c>
      <c r="DC30" s="379" t="e">
        <f t="shared" si="101"/>
        <v>#N/A</v>
      </c>
      <c r="DD30" s="354">
        <f t="shared" si="102"/>
        <v>2022</v>
      </c>
      <c r="DE30" s="378" t="e">
        <f t="shared" si="103"/>
        <v>#N/A</v>
      </c>
      <c r="DF30" s="378" t="e">
        <f t="shared" si="104"/>
        <v>#N/A</v>
      </c>
      <c r="DG30" s="378" t="e">
        <f t="shared" si="105"/>
        <v>#N/A</v>
      </c>
      <c r="DH30" s="378" t="e">
        <f t="shared" si="106"/>
        <v>#N/A</v>
      </c>
      <c r="DI30" s="378" t="e">
        <f t="shared" si="107"/>
        <v>#N/A</v>
      </c>
      <c r="DJ30" s="378" t="e">
        <f t="shared" si="108"/>
        <v>#N/A</v>
      </c>
      <c r="DK30" s="378" t="e">
        <f t="shared" si="109"/>
        <v>#N/A</v>
      </c>
      <c r="DL30" s="378" t="e">
        <f t="shared" si="110"/>
        <v>#N/A</v>
      </c>
      <c r="DM30" s="378" t="e">
        <f t="shared" si="111"/>
        <v>#N/A</v>
      </c>
      <c r="DN30" s="378" t="e">
        <f t="shared" si="112"/>
        <v>#N/A</v>
      </c>
      <c r="DO30" s="380" t="e">
        <f t="shared" si="113"/>
        <v>#N/A</v>
      </c>
      <c r="DP30" s="380" t="e">
        <f t="shared" si="114"/>
        <v>#N/A</v>
      </c>
      <c r="DQ30" s="380" t="e">
        <f t="shared" si="115"/>
        <v>#N/A</v>
      </c>
      <c r="DR30" s="380" t="e">
        <f t="shared" si="116"/>
        <v>#N/A</v>
      </c>
      <c r="DS30" s="380" t="e">
        <f t="shared" si="117"/>
        <v>#N/A</v>
      </c>
      <c r="DT30" s="380" t="e">
        <f t="shared" si="118"/>
        <v>#N/A</v>
      </c>
      <c r="DU30" s="380" t="e">
        <f t="shared" si="119"/>
        <v>#N/A</v>
      </c>
      <c r="DV30" s="380" t="e">
        <f t="shared" si="120"/>
        <v>#N/A</v>
      </c>
      <c r="DW30" s="380" t="e">
        <f t="shared" si="121"/>
        <v>#N/A</v>
      </c>
      <c r="DX30" s="380" t="e">
        <f t="shared" si="122"/>
        <v>#N/A</v>
      </c>
      <c r="DY30" s="380" t="e">
        <f t="shared" si="123"/>
        <v>#N/A</v>
      </c>
      <c r="DZ30" s="378" t="e">
        <f t="shared" si="124"/>
        <v>#N/A</v>
      </c>
      <c r="EA30" s="378" t="e">
        <f t="shared" si="125"/>
        <v>#N/A</v>
      </c>
      <c r="EB30" s="378" t="e">
        <f t="shared" si="126"/>
        <v>#N/A</v>
      </c>
      <c r="EC30" s="378" t="e">
        <f t="shared" si="127"/>
        <v>#N/A</v>
      </c>
      <c r="ED30" s="378" t="e">
        <f t="shared" si="128"/>
        <v>#N/A</v>
      </c>
      <c r="EE30" s="378" t="e">
        <f t="shared" si="129"/>
        <v>#N/A</v>
      </c>
      <c r="EF30" s="378" t="e">
        <f t="shared" si="130"/>
        <v>#N/A</v>
      </c>
      <c r="EG30" s="378" t="e">
        <f t="shared" si="131"/>
        <v>#N/A</v>
      </c>
      <c r="EH30" s="378" t="e">
        <f t="shared" si="132"/>
        <v>#N/A</v>
      </c>
      <c r="EI30" s="378" t="e">
        <f t="shared" si="133"/>
        <v>#N/A</v>
      </c>
      <c r="EJ30" s="354" t="e">
        <f t="shared" si="134"/>
        <v>#N/A</v>
      </c>
      <c r="EK30" s="380" t="e">
        <f t="shared" si="135"/>
        <v>#N/A</v>
      </c>
      <c r="EL30" s="380" t="e">
        <f t="shared" si="136"/>
        <v>#N/A</v>
      </c>
      <c r="EM30" s="380" t="e">
        <f t="shared" si="137"/>
        <v>#N/A</v>
      </c>
      <c r="EN30" s="380" t="e">
        <f t="shared" si="138"/>
        <v>#N/A</v>
      </c>
      <c r="EO30" s="380" t="e">
        <f t="shared" si="139"/>
        <v>#N/A</v>
      </c>
      <c r="EP30" s="380" t="e">
        <f t="shared" si="140"/>
        <v>#N/A</v>
      </c>
      <c r="EQ30" s="380" t="e">
        <f t="shared" si="141"/>
        <v>#N/A</v>
      </c>
      <c r="ER30" s="380" t="e">
        <f t="shared" si="142"/>
        <v>#N/A</v>
      </c>
      <c r="ES30" s="380" t="e">
        <f t="shared" si="143"/>
        <v>#N/A</v>
      </c>
      <c r="ET30" s="380" t="e">
        <f t="shared" si="144"/>
        <v>#N/A</v>
      </c>
      <c r="EU30" s="379" t="e">
        <f t="shared" si="145"/>
        <v>#N/A</v>
      </c>
      <c r="EV30" s="382"/>
      <c r="EW30" s="382"/>
      <c r="EX30" s="382"/>
      <c r="EY30" s="382"/>
      <c r="EZ30" s="382"/>
      <c r="FA30" s="382"/>
      <c r="FB30" s="382"/>
    </row>
    <row r="31" spans="1:165" x14ac:dyDescent="0.3">
      <c r="AM31" s="385"/>
      <c r="AO31" s="385"/>
      <c r="AP31" s="385"/>
      <c r="AQ31" s="385"/>
      <c r="AS31" s="385"/>
      <c r="AT31" s="385"/>
      <c r="BG31" s="282"/>
    </row>
    <row r="32" spans="1:165" x14ac:dyDescent="0.3">
      <c r="BG32" s="282"/>
    </row>
    <row r="33" spans="58:59" x14ac:dyDescent="0.3">
      <c r="BG33" s="282"/>
    </row>
    <row r="34" spans="58:59" x14ac:dyDescent="0.3">
      <c r="BG34" s="282"/>
    </row>
    <row r="37" spans="58:59" x14ac:dyDescent="0.3">
      <c r="BF37" s="282"/>
    </row>
    <row r="38" spans="58:59" x14ac:dyDescent="0.3">
      <c r="BF38" s="282"/>
    </row>
    <row r="39" spans="58:59" x14ac:dyDescent="0.3">
      <c r="BF39" s="282"/>
    </row>
    <row r="40" spans="58:59" x14ac:dyDescent="0.3">
      <c r="BF40" s="282"/>
    </row>
    <row r="50" spans="2:46" ht="39" customHeight="1" x14ac:dyDescent="0.3">
      <c r="B50" s="91" t="s">
        <v>52</v>
      </c>
      <c r="AM50" s="508">
        <f>SUM(AM5:AM21)</f>
        <v>15936473.147259479</v>
      </c>
      <c r="AN50" s="508">
        <f t="shared" ref="AN50:AT50" si="146">SUM(AN5:AN21)</f>
        <v>0</v>
      </c>
      <c r="AO50" s="508">
        <f t="shared" si="146"/>
        <v>3903950.4032306406</v>
      </c>
      <c r="AP50" s="508">
        <f t="shared" si="146"/>
        <v>12032522.74402884</v>
      </c>
      <c r="AQ50" s="508">
        <f t="shared" si="146"/>
        <v>319688.52471265377</v>
      </c>
      <c r="AR50" s="508">
        <f t="shared" si="146"/>
        <v>11712834.219316188</v>
      </c>
      <c r="AS50" s="508">
        <f t="shared" si="146"/>
        <v>37815306.156993739</v>
      </c>
      <c r="AT50" s="508">
        <f t="shared" si="146"/>
        <v>189076.53078496869</v>
      </c>
    </row>
  </sheetData>
  <mergeCells count="55">
    <mergeCell ref="A1:B1"/>
    <mergeCell ref="A2:I2"/>
    <mergeCell ref="J2:AE2"/>
    <mergeCell ref="AF2:AR2"/>
    <mergeCell ref="AS2:BG2"/>
    <mergeCell ref="DO2:EJ2"/>
    <mergeCell ref="EV2:FB2"/>
    <mergeCell ref="J3:S3"/>
    <mergeCell ref="T3:AC3"/>
    <mergeCell ref="AS3:AS4"/>
    <mergeCell ref="AT3:AT4"/>
    <mergeCell ref="AU3:BD3"/>
    <mergeCell ref="BE3:BE4"/>
    <mergeCell ref="BF3:BF4"/>
    <mergeCell ref="BH3:BH4"/>
    <mergeCell ref="BH2:BT2"/>
    <mergeCell ref="BT3:BT4"/>
    <mergeCell ref="BI3:BI4"/>
    <mergeCell ref="BJ3:BJ4"/>
    <mergeCell ref="BK3:BK4"/>
    <mergeCell ref="BL3:BL4"/>
    <mergeCell ref="BM3:BM4"/>
    <mergeCell ref="BN3:BN4"/>
    <mergeCell ref="BO3:BO4"/>
    <mergeCell ref="BP3:BP4"/>
    <mergeCell ref="BQ3:BQ4"/>
    <mergeCell ref="BR3:BR4"/>
    <mergeCell ref="BS3:BS4"/>
    <mergeCell ref="EZ3:EZ4"/>
    <mergeCell ref="BU3:BU4"/>
    <mergeCell ref="CH3:CR3"/>
    <mergeCell ref="CS3:DC3"/>
    <mergeCell ref="DE3:DN3"/>
    <mergeCell ref="DO3:DY3"/>
    <mergeCell ref="DZ3:EJ3"/>
    <mergeCell ref="EK3:EU3"/>
    <mergeCell ref="EV3:EV4"/>
    <mergeCell ref="EW3:EW4"/>
    <mergeCell ref="EX3:EX4"/>
    <mergeCell ref="EY3:EY4"/>
    <mergeCell ref="FD11:FI11"/>
    <mergeCell ref="FE12:FH12"/>
    <mergeCell ref="FD5:FH5"/>
    <mergeCell ref="FD6:FH6"/>
    <mergeCell ref="FA3:FA4"/>
    <mergeCell ref="FB3:FB4"/>
    <mergeCell ref="FD9:FI9"/>
    <mergeCell ref="FD10:FI10"/>
    <mergeCell ref="FE18:FH18"/>
    <mergeCell ref="FE19:FH19"/>
    <mergeCell ref="FE20:FH20"/>
    <mergeCell ref="FE21:FH21"/>
    <mergeCell ref="FE15:FH15"/>
    <mergeCell ref="FE16:FH16"/>
    <mergeCell ref="FE17:FH17"/>
  </mergeCells>
  <phoneticPr fontId="13" type="noConversion"/>
  <conditionalFormatting sqref="AU5:BA28">
    <cfRule type="cellIs" dxfId="97" priority="1" operator="equal">
      <formula>3</formula>
    </cfRule>
    <cfRule type="cellIs" dxfId="96" priority="2" operator="equal">
      <formula>1</formula>
    </cfRule>
    <cfRule type="cellIs" dxfId="95" priority="3" operator="equal">
      <formula>2</formula>
    </cfRule>
    <cfRule type="cellIs" dxfId="94" priority="4" operator="equal">
      <formula>3</formula>
    </cfRule>
    <cfRule type="cellIs" dxfId="93" priority="5" operator="greaterThan">
      <formula>3.9</formula>
    </cfRule>
  </conditionalFormatting>
  <conditionalFormatting sqref="BE1:BE28 BE31:BE49 BE51:BE1048576">
    <cfRule type="cellIs" dxfId="92" priority="19" operator="equal">
      <formula>1</formula>
    </cfRule>
    <cfRule type="cellIs" dxfId="91" priority="20" operator="equal">
      <formula>2</formula>
    </cfRule>
    <cfRule type="cellIs" dxfId="90" priority="21" operator="equal">
      <formula>3</formula>
    </cfRule>
  </conditionalFormatting>
  <conditionalFormatting sqref="BE5:BE28">
    <cfRule type="cellIs" dxfId="89" priority="22" operator="greaterThan">
      <formula>3.5</formula>
    </cfRule>
  </conditionalFormatting>
  <conditionalFormatting sqref="BG5:BG6 BG10:BG18">
    <cfRule type="cellIs" dxfId="88" priority="15" operator="lessThan">
      <formula>0.21</formula>
    </cfRule>
    <cfRule type="cellIs" dxfId="87" priority="16" operator="between">
      <formula>0.21</formula>
      <formula>0.4</formula>
    </cfRule>
    <cfRule type="cellIs" dxfId="86" priority="17" operator="between">
      <formula>0.4</formula>
      <formula>0.6</formula>
    </cfRule>
    <cfRule type="cellIs" dxfId="85" priority="18" operator="lessThan">
      <formula>0.5</formula>
    </cfRule>
  </conditionalFormatting>
  <conditionalFormatting sqref="BG5:BG28">
    <cfRule type="cellIs" dxfId="84" priority="11" operator="lessThan">
      <formula>0.3</formula>
    </cfRule>
    <cfRule type="cellIs" dxfId="83" priority="12" operator="between">
      <formula>0.3</formula>
      <formula>0.5</formula>
    </cfRule>
    <cfRule type="cellIs" dxfId="82" priority="13" operator="between">
      <formula>0.5</formula>
      <formula>0.6</formula>
    </cfRule>
    <cfRule type="cellIs" dxfId="81" priority="14" operator="greaterThan">
      <formula>0.6</formula>
    </cfRule>
  </conditionalFormatting>
  <dataValidations count="8">
    <dataValidation type="list" allowBlank="1" showInputMessage="1" showErrorMessage="1" sqref="N5:N12" xr:uid="{08DF2B7B-9157-4416-B117-BC871D918C23}">
      <formula1>$J$48:$J$54</formula1>
    </dataValidation>
    <dataValidation type="list" allowBlank="1" showInputMessage="1" showErrorMessage="1" sqref="R7:R8 R20:R21 R28" xr:uid="{C2AF74AB-D792-4352-A872-E66A4372E97D}">
      <formula1>$J$88:$J$91</formula1>
    </dataValidation>
    <dataValidation type="list" allowBlank="1" showInputMessage="1" showErrorMessage="1" sqref="P10:P11 P14:P19" xr:uid="{3A715150-D4EF-4070-8580-84C4DEB84412}">
      <formula1>$J$68:$J$73</formula1>
    </dataValidation>
    <dataValidation type="list" allowBlank="1" showInputMessage="1" showErrorMessage="1" sqref="D5:D10 D28 D12:D21" xr:uid="{59E0FB47-8E97-4072-8E10-65E343C89754}">
      <formula1>$D$4:$D$14</formula1>
    </dataValidation>
    <dataValidation type="list" allowBlank="1" showInputMessage="1" showErrorMessage="1" sqref="Y4:AC4" xr:uid="{249256A3-7B12-4CC8-A13F-2FC964F9EBC8}">
      <formula1>$I$4:$I$13</formula1>
    </dataValidation>
    <dataValidation type="list" allowBlank="1" showInputMessage="1" showErrorMessage="1" sqref="F11 F7:F8" xr:uid="{F090FB52-47FB-494C-BD12-BC767A316796}">
      <formula1>$H$4:$H$16</formula1>
    </dataValidation>
    <dataValidation type="list" allowBlank="1" showInputMessage="1" showErrorMessage="1" sqref="K7:K8" xr:uid="{EDEA585E-71CD-4FD1-A439-4248A9057F2A}">
      <formula1>$J$11:$J$26</formula1>
    </dataValidation>
    <dataValidation type="list" allowBlank="1" showInputMessage="1" showErrorMessage="1" sqref="C12" xr:uid="{7FA1C6C3-0F3C-4C2F-A841-D829D2056CB5}">
      <formula1>$B$4:$B$49</formula1>
    </dataValidation>
  </dataValidations>
  <pageMargins left="0.7" right="0.7" top="0.75" bottom="0.75" header="0.3" footer="0.3"/>
  <headerFooter>
    <oddFooter>&amp;C_x000D_&amp;1#&amp;"Calibri"&amp;8&amp;K000000 INTERNAL. This information is accessible to ADB Management and staff. It may be shared outside ADB with appropriate permission.</oddFooter>
  </headerFooter>
  <extLst>
    <ext xmlns:x14="http://schemas.microsoft.com/office/spreadsheetml/2009/9/main" uri="{CCE6A557-97BC-4b89-ADB6-D9C93CAAB3DF}">
      <x14:dataValidations xmlns:xm="http://schemas.microsoft.com/office/excel/2006/main" count="17">
        <x14:dataValidation type="list" allowBlank="1" showInputMessage="1" showErrorMessage="1" xr:uid="{4844587B-6862-4841-A28D-506086C8CB07}">
          <x14:formula1>
            <xm:f>'Condition rating weights'!$C$29:$C$34</xm:f>
          </x14:formula1>
          <xm:sqref>AW18:AW19 AX18:BE18 AX19:AZ19 BF18:BF19 AU15:AV19 AU5:BF14 AW15:BF17 AU20:BF21 AU28:BF28</xm:sqref>
        </x14:dataValidation>
        <x14:dataValidation type="list" allowBlank="1" showInputMessage="1" showErrorMessage="1" xr:uid="{329BDF77-2CF4-4565-9E29-4FA35FAA63F3}">
          <x14:formula1>
            <xm:f>'Inflation Adjustments'!$B$3:$BT$3</xm:f>
          </x14:formula1>
          <xm:sqref>AG5:AG11 AG28 AG20:AG21</xm:sqref>
        </x14:dataValidation>
        <x14:dataValidation type="list" allowBlank="1" showInputMessage="1" showErrorMessage="1" xr:uid="{B7654FA4-F07A-4D8E-9F97-B780B4D48E43}">
          <x14:formula1>
            <xm:f>'AR-Hierarchy '!$H$4:$H$20</xm:f>
          </x14:formula1>
          <xm:sqref>F5:F13 F28 F20:F21</xm:sqref>
        </x14:dataValidation>
        <x14:dataValidation type="list" allowBlank="1" showInputMessage="1" showErrorMessage="1" xr:uid="{8DA3664B-93EB-4459-BDC3-238E5CFFB100}">
          <x14:formula1>
            <xm:f>'AR-Hierarchy '!$I$4:$I$14</xm:f>
          </x14:formula1>
          <xm:sqref>J4:S4</xm:sqref>
        </x14:dataValidation>
        <x14:dataValidation type="list" allowBlank="1" showInputMessage="1" showErrorMessage="1" xr:uid="{66BA87C2-B9B9-46A3-87EA-E1856FDBF41B}">
          <x14:formula1>
            <xm:f>'AR-Hierarchy '!$J$14:$J$21</xm:f>
          </x14:formula1>
          <xm:sqref>K28 K5:K21</xm:sqref>
        </x14:dataValidation>
        <x14:dataValidation type="list" allowBlank="1" showInputMessage="1" showErrorMessage="1" xr:uid="{6634AB3F-4692-4D2D-BBA8-40AA96A77786}">
          <x14:formula1>
            <xm:f>'AR-Hierarchy '!$J$45:$J$51</xm:f>
          </x14:formula1>
          <xm:sqref>N7:N8 N14:N21 N28 N10:N11</xm:sqref>
        </x14:dataValidation>
        <x14:dataValidation type="list" allowBlank="1" showInputMessage="1" showErrorMessage="1" xr:uid="{21203E78-6DE5-4FF9-966D-3112E07E6F1A}">
          <x14:formula1>
            <xm:f>'AR-Hierarchy '!$J$63:$J$68</xm:f>
          </x14:formula1>
          <xm:sqref>P5:P11 P20:P21 P28</xm:sqref>
        </x14:dataValidation>
        <x14:dataValidation type="list" allowBlank="1" showInputMessage="1" showErrorMessage="1" xr:uid="{67541D58-B907-4680-AB3D-BAF94693E1E5}">
          <x14:formula1>
            <xm:f>'AR-Hierarchy '!$J$80:$J$83</xm:f>
          </x14:formula1>
          <xm:sqref>R5:R19</xm:sqref>
        </x14:dataValidation>
        <x14:dataValidation type="list" allowBlank="1" showInputMessage="1" showErrorMessage="1" xr:uid="{D2A4E916-83A1-4186-B1E2-0C01FC311CEF}">
          <x14:formula1>
            <xm:f>'AR-Hierarchy '!#REF!</xm:f>
          </x14:formula1>
          <xm:sqref>E5 E28 E20:E21 D7:E11</xm:sqref>
        </x14:dataValidation>
        <x14:dataValidation type="list" allowBlank="1" showInputMessage="1" showErrorMessage="1" xr:uid="{7EE04375-41F2-47CC-B85E-CB6C66815883}">
          <x14:formula1>
            <xm:f>'AR-Hierarchy '!$B$4:$B$53</xm:f>
          </x14:formula1>
          <xm:sqref>C5 C7:C11 C28</xm:sqref>
        </x14:dataValidation>
        <x14:dataValidation type="list" allowBlank="1" showInputMessage="1" showErrorMessage="1" xr:uid="{6A66627A-984C-4520-8D88-5027311CBD28}">
          <x14:formula1>
            <xm:f>'AR-Hierarchy '!$K$4:$K$17</xm:f>
          </x14:formula1>
          <xm:sqref>T5:AC21 T28:AC28</xm:sqref>
        </x14:dataValidation>
        <x14:dataValidation type="list" allowBlank="1" showInputMessage="1" showErrorMessage="1" xr:uid="{A555282A-F5DC-4753-B274-7F04A3297A60}">
          <x14:formula1>
            <xm:f>'AR-Hierarchy '!$J$5:$J$12</xm:f>
          </x14:formula1>
          <xm:sqref>J28 J5:J21</xm:sqref>
        </x14:dataValidation>
        <x14:dataValidation type="list" allowBlank="1" showInputMessage="1" showErrorMessage="1" xr:uid="{C807C8BB-5645-4C46-AB8C-8273D606582E}">
          <x14:formula1>
            <xm:f>'AR-Hierarchy '!$J$24:$J$32</xm:f>
          </x14:formula1>
          <xm:sqref>L28 L5:L21</xm:sqref>
        </x14:dataValidation>
        <x14:dataValidation type="list" allowBlank="1" showInputMessage="1" showErrorMessage="1" xr:uid="{DF4D175A-FB13-49AD-8A06-61D674204090}">
          <x14:formula1>
            <xm:f>'AR-Hierarchy '!$J$35:$J$41</xm:f>
          </x14:formula1>
          <xm:sqref>M28 M5:M21</xm:sqref>
        </x14:dataValidation>
        <x14:dataValidation type="list" allowBlank="1" showInputMessage="1" showErrorMessage="1" xr:uid="{BE63CEDE-CB6B-438E-B9CA-D2D0853F6D5B}">
          <x14:formula1>
            <xm:f>'AR-Hierarchy '!$J$54:$J$60</xm:f>
          </x14:formula1>
          <xm:sqref>O28 O5:O21</xm:sqref>
        </x14:dataValidation>
        <x14:dataValidation type="list" allowBlank="1" showInputMessage="1" showErrorMessage="1" xr:uid="{D09952C5-9CDA-49AB-ACF3-ADC44993E382}">
          <x14:formula1>
            <xm:f>'AR-Hierarchy '!$J$72:$J$77</xm:f>
          </x14:formula1>
          <xm:sqref>Q28 Q5:Q21</xm:sqref>
        </x14:dataValidation>
        <x14:dataValidation type="list" allowBlank="1" showInputMessage="1" showErrorMessage="1" xr:uid="{81802A49-D3DF-48AF-8B4B-3FC57A76CEB7}">
          <x14:formula1>
            <xm:f>'AR-Hierarchy '!$J$86:$J$90</xm:f>
          </x14:formula1>
          <xm:sqref>S28 S5:S21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6DF58-CE33-4084-AC83-6C09F270FD97}">
  <dimension ref="A1:J54"/>
  <sheetViews>
    <sheetView tabSelected="1" zoomScale="85" zoomScaleNormal="85" workbookViewId="0">
      <selection sqref="A1:XFD1"/>
    </sheetView>
  </sheetViews>
  <sheetFormatPr defaultRowHeight="14.5" x14ac:dyDescent="0.35"/>
  <cols>
    <col min="1" max="1" width="38.36328125" customWidth="1"/>
    <col min="2" max="2" width="26.08984375" style="6" customWidth="1"/>
    <col min="3" max="3" width="26.1796875" style="6" customWidth="1"/>
    <col min="4" max="4" width="25.81640625" style="6" customWidth="1"/>
    <col min="5" max="5" width="22.81640625" style="6" customWidth="1"/>
    <col min="6" max="6" width="21.90625" style="6" customWidth="1"/>
  </cols>
  <sheetData>
    <row r="1" spans="1:6" s="748" customFormat="1" ht="18.5" x14ac:dyDescent="0.45">
      <c r="A1" s="747" t="s">
        <v>1872</v>
      </c>
      <c r="B1" s="747"/>
      <c r="C1" s="747"/>
      <c r="D1" s="747"/>
      <c r="E1" s="747"/>
      <c r="F1" s="747"/>
    </row>
    <row r="2" spans="1:6" ht="15" thickBot="1" x14ac:dyDescent="0.4"/>
    <row r="3" spans="1:6" ht="30" x14ac:dyDescent="0.35">
      <c r="A3" s="533" t="s">
        <v>1389</v>
      </c>
      <c r="B3" s="534" t="s">
        <v>1866</v>
      </c>
      <c r="C3" s="534" t="s">
        <v>1867</v>
      </c>
      <c r="D3" s="534" t="s">
        <v>1868</v>
      </c>
      <c r="E3" s="535" t="s">
        <v>1869</v>
      </c>
      <c r="F3" s="536" t="s">
        <v>1870</v>
      </c>
    </row>
    <row r="4" spans="1:6" ht="25" customHeight="1" x14ac:dyDescent="0.35">
      <c r="A4" s="537" t="s">
        <v>1234</v>
      </c>
      <c r="B4" s="521"/>
      <c r="C4" s="521"/>
      <c r="D4" s="521"/>
      <c r="E4" s="522"/>
      <c r="F4" s="538"/>
    </row>
    <row r="5" spans="1:6" ht="25" customHeight="1" x14ac:dyDescent="0.35">
      <c r="A5" s="539" t="s">
        <v>1422</v>
      </c>
      <c r="B5" s="523">
        <f>'Dept of Education Buildings'!AM50</f>
        <v>24490019.828506216</v>
      </c>
      <c r="C5" s="523">
        <f>'Dept of Education Buildings'!AO50</f>
        <v>8395496.9249708634</v>
      </c>
      <c r="D5" s="523">
        <f>'Dept of Education Buildings'!AP50</f>
        <v>16094522.903535353</v>
      </c>
      <c r="E5" s="523">
        <f>'Dept of Education Buildings'!AS50</f>
        <v>53417378.630437493</v>
      </c>
      <c r="F5" s="540">
        <f>'Dept of Education Buildings'!AT50</f>
        <v>267086.89315218746</v>
      </c>
    </row>
    <row r="6" spans="1:6" ht="25" customHeight="1" x14ac:dyDescent="0.35">
      <c r="A6" s="539" t="s">
        <v>1861</v>
      </c>
      <c r="B6" s="523">
        <f>'Justice and Border Cont Bldings'!AM50</f>
        <v>8336179.0594979227</v>
      </c>
      <c r="C6" s="523">
        <f>'Justice and Border Cont Bldings'!AO50</f>
        <v>1356705.2084634879</v>
      </c>
      <c r="D6" s="523">
        <f>'Justice and Border Cont Bldings'!AP50</f>
        <v>6979473.8510344354</v>
      </c>
      <c r="E6" s="523">
        <f>'Justice and Border Cont Bldings'!AS50</f>
        <v>14855446.199671874</v>
      </c>
      <c r="F6" s="540">
        <f>'Justice and Border Cont Bldings'!AT50</f>
        <v>74277.230998359373</v>
      </c>
    </row>
    <row r="7" spans="1:6" ht="25" customHeight="1" x14ac:dyDescent="0.35">
      <c r="A7" s="541" t="s">
        <v>1865</v>
      </c>
      <c r="B7" s="523">
        <f>'Public Serv Admin'!AM50</f>
        <v>15936473.147259479</v>
      </c>
      <c r="C7" s="523">
        <f>'Public Serv Admin'!AO50</f>
        <v>3903950.4032306406</v>
      </c>
      <c r="D7" s="523">
        <f>'Public Serv Admin'!AP50</f>
        <v>12032522.74402884</v>
      </c>
      <c r="E7" s="523">
        <f>'Public Serv Admin'!AS50</f>
        <v>37815306.156993739</v>
      </c>
      <c r="F7" s="540">
        <f>'Public Serv Admin'!AT50</f>
        <v>189076.53078496869</v>
      </c>
    </row>
    <row r="8" spans="1:6" ht="25" customHeight="1" x14ac:dyDescent="0.35">
      <c r="A8" s="541" t="s">
        <v>1862</v>
      </c>
      <c r="B8" s="523">
        <f>'Multi Cuture Affairs Bldgs'!AM50</f>
        <v>871778.77499999991</v>
      </c>
      <c r="C8" s="523">
        <f>'Multi Cuture Affairs Bldgs'!AO50</f>
        <v>0</v>
      </c>
      <c r="D8" s="523">
        <f>'Multi Cuture Affairs Bldgs'!AP50</f>
        <v>871778.77499999991</v>
      </c>
      <c r="E8" s="523">
        <f>'Multi Cuture Affairs Bldgs'!AS50</f>
        <v>1002545.5912499999</v>
      </c>
      <c r="F8" s="540">
        <f>'Multi Cuture Affairs Bldgs'!AT50</f>
        <v>5012.7279562499998</v>
      </c>
    </row>
    <row r="9" spans="1:6" ht="25" customHeight="1" x14ac:dyDescent="0.35">
      <c r="A9" s="541" t="s">
        <v>1863</v>
      </c>
      <c r="B9" s="523">
        <f>'Nauru Media Bureau'!AM50</f>
        <v>1308619.5034375002</v>
      </c>
      <c r="C9" s="523">
        <f>'Nauru Media Bureau'!AO50</f>
        <v>0</v>
      </c>
      <c r="D9" s="523">
        <f>'Nauru Media Bureau'!AP50</f>
        <v>1308619.5034375002</v>
      </c>
      <c r="E9" s="523">
        <f>'Nauru Media Bureau'!AS50</f>
        <v>1389912.4289531251</v>
      </c>
      <c r="F9" s="540">
        <f>'Nauru Media Bureau'!AT50</f>
        <v>6949.5621447656258</v>
      </c>
    </row>
    <row r="10" spans="1:6" ht="25" customHeight="1" x14ac:dyDescent="0.35">
      <c r="A10" s="541" t="s">
        <v>1864</v>
      </c>
      <c r="B10" s="523">
        <f>'Police Force builidngs'!AM50</f>
        <v>2514591.4343875227</v>
      </c>
      <c r="C10" s="523">
        <f>'Police Force builidngs'!AO50</f>
        <v>651931.11261898756</v>
      </c>
      <c r="D10" s="523">
        <f>'Police Force builidngs'!AP50</f>
        <v>1862660.3217685353</v>
      </c>
      <c r="E10" s="523">
        <f>'Police Force builidngs'!AS50</f>
        <v>4635056.671875</v>
      </c>
      <c r="F10" s="540">
        <f>'Police Force builidngs'!AT50</f>
        <v>23175.283359375</v>
      </c>
    </row>
    <row r="11" spans="1:6" ht="25" customHeight="1" x14ac:dyDescent="0.35">
      <c r="A11" s="541" t="s">
        <v>1860</v>
      </c>
      <c r="B11" s="523">
        <f>'Emergency Services'!AM51</f>
        <v>233743.19534168029</v>
      </c>
      <c r="C11" s="523">
        <f>'Emergency Services'!AO51</f>
        <v>199077.76738008263</v>
      </c>
      <c r="D11" s="523">
        <f>'Emergency Services'!AP51</f>
        <v>34665.427961597656</v>
      </c>
      <c r="E11" s="523">
        <f>'Emergency Services'!AS51</f>
        <v>1481202.8929687499</v>
      </c>
      <c r="F11" s="540">
        <f>'Emergency Services'!AT51</f>
        <v>7406.014464843749</v>
      </c>
    </row>
    <row r="12" spans="1:6" ht="25" customHeight="1" x14ac:dyDescent="0.35">
      <c r="A12" s="541" t="s">
        <v>1859</v>
      </c>
      <c r="B12" s="523">
        <f>'Dept of Infrastructure'!AM50</f>
        <v>518096.25</v>
      </c>
      <c r="C12" s="523">
        <f>'Dept of Infrastructure'!AO50</f>
        <v>22687.875</v>
      </c>
      <c r="D12" s="523">
        <f>'Dept of Infrastructure'!AP50</f>
        <v>495408.375</v>
      </c>
      <c r="E12" s="523">
        <f>'Dept of Infrastructure'!AS50</f>
        <v>685182.29062499991</v>
      </c>
      <c r="F12" s="540">
        <f>'Dept of Infrastructure'!AT50</f>
        <v>3425.9114531249998</v>
      </c>
    </row>
    <row r="13" spans="1:6" ht="25" customHeight="1" x14ac:dyDescent="0.35">
      <c r="A13" s="539" t="s">
        <v>1423</v>
      </c>
      <c r="B13" s="523">
        <f>'ICT Buildings'!AM50</f>
        <v>249475.91763126428</v>
      </c>
      <c r="C13" s="523">
        <f>'ICT Buildings'!AO50</f>
        <v>130044.04833919993</v>
      </c>
      <c r="D13" s="523">
        <f>'ICT Buildings'!AP50</f>
        <v>119431.86929206435</v>
      </c>
      <c r="E13" s="523">
        <f>'ICT Buildings'!AS50</f>
        <v>1259526.2695312498</v>
      </c>
      <c r="F13" s="540">
        <f>'ICT Buildings'!AT50</f>
        <v>6297.6313476562491</v>
      </c>
    </row>
    <row r="14" spans="1:6" ht="25" customHeight="1" x14ac:dyDescent="0.35">
      <c r="A14" s="539" t="s">
        <v>1235</v>
      </c>
      <c r="B14" s="523">
        <f>'Health Buildings'!AM50</f>
        <v>7515853.755559572</v>
      </c>
      <c r="C14" s="523">
        <f>'Health Buildings'!AO50</f>
        <v>2103021.284722107</v>
      </c>
      <c r="D14" s="523">
        <f>'Health Buildings'!AP50</f>
        <v>5412832.4708374655</v>
      </c>
      <c r="E14" s="523">
        <f>'Health Buildings'!AS50</f>
        <v>16139983.861968748</v>
      </c>
      <c r="F14" s="540">
        <f>'Health Buildings'!AT50</f>
        <v>80699.919309843739</v>
      </c>
    </row>
    <row r="15" spans="1:6" ht="25" customHeight="1" x14ac:dyDescent="0.35">
      <c r="A15" s="539" t="s">
        <v>1365</v>
      </c>
      <c r="B15" s="523">
        <f>'Fisheries Buildings'!AM50</f>
        <v>2065813.5673676732</v>
      </c>
      <c r="C15" s="523">
        <f>'Fisheries Buildings'!AO50</f>
        <v>624324.75635028328</v>
      </c>
      <c r="D15" s="523">
        <f>'Fisheries Buildings'!AP50</f>
        <v>1441488.8110173896</v>
      </c>
      <c r="E15" s="523">
        <f>'Fisheries Buildings'!AS50</f>
        <v>4360386.6468749996</v>
      </c>
      <c r="F15" s="540">
        <f>'Fisheries Buildings'!AT50</f>
        <v>21801.933234374999</v>
      </c>
    </row>
    <row r="16" spans="1:6" ht="25" customHeight="1" x14ac:dyDescent="0.35">
      <c r="A16" s="539" t="s">
        <v>1364</v>
      </c>
      <c r="B16" s="523">
        <f>'Civil Aviation Buildings'!AM50</f>
        <v>3740978.9559118613</v>
      </c>
      <c r="C16" s="523">
        <f>'Civil Aviation Buildings'!AO50</f>
        <v>2507883.9907824672</v>
      </c>
      <c r="D16" s="523">
        <f>'Civil Aviation Buildings'!AP50</f>
        <v>1233094.9651293941</v>
      </c>
      <c r="E16" s="523">
        <f>'Civil Aviation Buildings'!AS50</f>
        <v>15729098.403374998</v>
      </c>
      <c r="F16" s="540">
        <f>'Civil Aviation Buildings'!AT50</f>
        <v>78645.492016874981</v>
      </c>
    </row>
    <row r="17" spans="1:10" ht="25" customHeight="1" x14ac:dyDescent="0.35">
      <c r="A17" s="539" t="s">
        <v>1236</v>
      </c>
      <c r="B17" s="523">
        <v>0</v>
      </c>
      <c r="C17" s="523">
        <v>0</v>
      </c>
      <c r="D17" s="523">
        <v>0</v>
      </c>
      <c r="E17" s="524">
        <v>0</v>
      </c>
      <c r="F17" s="540">
        <v>0</v>
      </c>
    </row>
    <row r="18" spans="1:10" ht="25" customHeight="1" x14ac:dyDescent="0.35">
      <c r="A18" s="539" t="s">
        <v>1424</v>
      </c>
      <c r="B18" s="523">
        <f>'CIE Buildings'!AM50</f>
        <v>63317.156061048721</v>
      </c>
      <c r="C18" s="523">
        <f>'CIE Buildings'!AO50</f>
        <v>39705.141619864924</v>
      </c>
      <c r="D18" s="523">
        <f>'CIE Buildings'!AP50</f>
        <v>23612.014441183794</v>
      </c>
      <c r="E18" s="523">
        <f>'CIE Buildings'!AS50</f>
        <v>153158.39437499997</v>
      </c>
      <c r="F18" s="540">
        <f>'CIE Buildings'!AT50</f>
        <v>765.79197187499994</v>
      </c>
    </row>
    <row r="19" spans="1:10" ht="25" customHeight="1" x14ac:dyDescent="0.35">
      <c r="A19" s="542" t="s">
        <v>432</v>
      </c>
      <c r="B19" s="531">
        <f>SUM(B5:B18)</f>
        <v>67844940.545961738</v>
      </c>
      <c r="C19" s="531">
        <f>SUM(C5:C18)</f>
        <v>19934828.513477985</v>
      </c>
      <c r="D19" s="531">
        <f>SUM(D5:D18)</f>
        <v>47910112.032483749</v>
      </c>
      <c r="E19" s="532">
        <f>SUM(E5:E18)</f>
        <v>152924184.43889996</v>
      </c>
      <c r="F19" s="543">
        <f>SUM(F5:F18)</f>
        <v>764620.92219449964</v>
      </c>
    </row>
    <row r="20" spans="1:10" ht="25" customHeight="1" x14ac:dyDescent="0.35">
      <c r="A20" s="537" t="s">
        <v>1237</v>
      </c>
      <c r="B20" s="521"/>
      <c r="C20" s="521"/>
      <c r="D20" s="521"/>
      <c r="E20" s="522"/>
      <c r="F20" s="538"/>
    </row>
    <row r="21" spans="1:10" ht="25" customHeight="1" x14ac:dyDescent="0.35">
      <c r="A21" s="542" t="s">
        <v>1238</v>
      </c>
      <c r="B21" s="529">
        <f>Seawalls!W35</f>
        <v>15291617.030337803</v>
      </c>
      <c r="C21" s="529">
        <f>Seawalls!Y35</f>
        <v>4086588.38154878</v>
      </c>
      <c r="D21" s="529">
        <f>Seawalls!Z35</f>
        <v>11205028.648789022</v>
      </c>
      <c r="E21" s="530">
        <f>ROUND(Seawalls!AC35,-3)</f>
        <v>40564000</v>
      </c>
      <c r="F21" s="544">
        <f>ROUND(Seawalls!AD35,-3)</f>
        <v>717000</v>
      </c>
    </row>
    <row r="22" spans="1:10" ht="25" customHeight="1" x14ac:dyDescent="0.35">
      <c r="A22" s="537" t="s">
        <v>1694</v>
      </c>
      <c r="B22" s="525"/>
      <c r="C22" s="525"/>
      <c r="D22" s="525"/>
      <c r="E22" s="526"/>
      <c r="F22" s="545"/>
    </row>
    <row r="23" spans="1:10" ht="25" customHeight="1" x14ac:dyDescent="0.35">
      <c r="A23" s="539" t="s">
        <v>123</v>
      </c>
      <c r="B23" s="525">
        <f>'Sealed Roads'!AB44</f>
        <v>7439739.468120615</v>
      </c>
      <c r="C23" s="525">
        <f>'Sealed Roads'!AD44</f>
        <v>5739357.9611599753</v>
      </c>
      <c r="D23" s="525">
        <f>'Sealed Roads'!AE44</f>
        <v>1700381.5069606421</v>
      </c>
      <c r="E23" s="526">
        <f>ROUND('Sealed Roads'!AH44,-3)</f>
        <v>41110000</v>
      </c>
      <c r="F23" s="545">
        <f>ROUND('Sealed Roads'!AI44,-3)</f>
        <v>148000</v>
      </c>
    </row>
    <row r="24" spans="1:10" ht="25" customHeight="1" x14ac:dyDescent="0.35">
      <c r="A24" s="539" t="s">
        <v>1224</v>
      </c>
      <c r="B24" s="525">
        <f>Footpath!W33</f>
        <v>490806.85541950294</v>
      </c>
      <c r="C24" s="525">
        <f>Footpath!Y33</f>
        <v>490806.85541950294</v>
      </c>
      <c r="D24" s="525">
        <f>Footpath!Z33</f>
        <v>0</v>
      </c>
      <c r="E24" s="526">
        <f>ROUND(Footpath!AC33,-3)</f>
        <v>4652000</v>
      </c>
      <c r="F24" s="545">
        <f>ROUND(Footpath!AD33,-3)</f>
        <v>47000</v>
      </c>
    </row>
    <row r="25" spans="1:10" ht="25" customHeight="1" thickBot="1" x14ac:dyDescent="0.4">
      <c r="A25" s="542" t="s">
        <v>1695</v>
      </c>
      <c r="B25" s="529">
        <f>SUM(B23:B24)</f>
        <v>7930546.3235401176</v>
      </c>
      <c r="C25" s="529">
        <f>SUM(C23:C24)</f>
        <v>6230164.8165794779</v>
      </c>
      <c r="D25" s="529">
        <f>SUM(D23:D24)</f>
        <v>1700381.5069606421</v>
      </c>
      <c r="E25" s="530">
        <f>SUM(E23:E24)</f>
        <v>45762000</v>
      </c>
      <c r="F25" s="544">
        <f>SUM(F23:F24)</f>
        <v>195000</v>
      </c>
    </row>
    <row r="26" spans="1:10" ht="30" x14ac:dyDescent="0.35">
      <c r="A26" s="533" t="s">
        <v>1389</v>
      </c>
      <c r="B26" s="534" t="s">
        <v>1866</v>
      </c>
      <c r="C26" s="534" t="s">
        <v>1867</v>
      </c>
      <c r="D26" s="534" t="s">
        <v>1868</v>
      </c>
      <c r="E26" s="535" t="s">
        <v>1869</v>
      </c>
      <c r="F26" s="536" t="s">
        <v>1870</v>
      </c>
    </row>
    <row r="27" spans="1:10" ht="25" customHeight="1" x14ac:dyDescent="0.35">
      <c r="A27" s="546" t="s">
        <v>1264</v>
      </c>
      <c r="B27" s="527"/>
      <c r="C27" s="527"/>
      <c r="D27" s="527"/>
      <c r="E27" s="528"/>
      <c r="F27" s="547"/>
    </row>
    <row r="28" spans="1:10" ht="25" customHeight="1" x14ac:dyDescent="0.35">
      <c r="A28" s="548" t="s">
        <v>1425</v>
      </c>
      <c r="B28" s="527">
        <f>Airstrip!Z17</f>
        <v>9502331.191003263</v>
      </c>
      <c r="C28" s="527">
        <f>Airstrip!AB17</f>
        <v>6385286.4820721187</v>
      </c>
      <c r="D28" s="527">
        <f>Airstrip!AC17</f>
        <v>3117044.7089311443</v>
      </c>
      <c r="E28" s="528">
        <f>ROUND(Airstrip!AF17,-3)</f>
        <v>51561000</v>
      </c>
      <c r="F28" s="547">
        <f>ROUND(Airstrip!AG17,-3)</f>
        <v>128000</v>
      </c>
    </row>
    <row r="29" spans="1:10" ht="25" customHeight="1" x14ac:dyDescent="0.35">
      <c r="A29" s="548" t="s">
        <v>1265</v>
      </c>
      <c r="B29" s="527">
        <f>'Air Navigation Equipment'!S25</f>
        <v>1715419.8534749304</v>
      </c>
      <c r="C29" s="527">
        <f>'Air Navigation Equipment'!U25</f>
        <v>364751.295049707</v>
      </c>
      <c r="D29" s="527">
        <f>'Air Navigation Equipment'!V25</f>
        <v>1350668.5584252235</v>
      </c>
      <c r="E29" s="528">
        <f>ROUND('Air Navigation Equipment'!Y25,-3)</f>
        <v>2978000</v>
      </c>
      <c r="F29" s="547">
        <f>ROUND('Air Navigation Equipment'!Z25,-3)</f>
        <v>60000</v>
      </c>
    </row>
    <row r="30" spans="1:10" ht="25" customHeight="1" x14ac:dyDescent="0.35">
      <c r="A30" s="542" t="s">
        <v>1366</v>
      </c>
      <c r="B30" s="529">
        <f>SUM(B28:B29)</f>
        <v>11217751.044478193</v>
      </c>
      <c r="C30" s="529">
        <f t="shared" ref="C30:F30" si="0">SUM(C28:C29)</f>
        <v>6750037.7771218261</v>
      </c>
      <c r="D30" s="529">
        <f t="shared" si="0"/>
        <v>4467713.2673563678</v>
      </c>
      <c r="E30" s="529">
        <f t="shared" si="0"/>
        <v>54539000</v>
      </c>
      <c r="F30" s="544">
        <f t="shared" si="0"/>
        <v>188000</v>
      </c>
      <c r="J30" t="s">
        <v>1693</v>
      </c>
    </row>
    <row r="31" spans="1:10" ht="25" customHeight="1" x14ac:dyDescent="0.35">
      <c r="A31" s="546" t="s">
        <v>1696</v>
      </c>
      <c r="B31" s="527"/>
      <c r="C31" s="527"/>
      <c r="D31" s="527"/>
      <c r="E31" s="527"/>
      <c r="F31" s="547"/>
    </row>
    <row r="32" spans="1:10" ht="25" customHeight="1" x14ac:dyDescent="0.35">
      <c r="A32" s="548" t="s">
        <v>1367</v>
      </c>
      <c r="B32" s="660" t="s">
        <v>1871</v>
      </c>
      <c r="C32" s="661"/>
      <c r="D32" s="661"/>
      <c r="E32" s="661"/>
      <c r="F32" s="662"/>
    </row>
    <row r="33" spans="1:6" ht="25" customHeight="1" x14ac:dyDescent="0.35">
      <c r="A33" s="546" t="s">
        <v>1417</v>
      </c>
      <c r="B33" s="527"/>
      <c r="C33" s="527"/>
      <c r="D33" s="527"/>
      <c r="E33" s="527"/>
      <c r="F33" s="547"/>
    </row>
    <row r="34" spans="1:6" ht="25" customHeight="1" x14ac:dyDescent="0.35">
      <c r="A34" s="542" t="s">
        <v>129</v>
      </c>
      <c r="B34" s="529">
        <f>'Unsealed Roads'!Y22</f>
        <v>1856602.0618045942</v>
      </c>
      <c r="C34" s="529">
        <f>'Unsealed Roads'!AA22</f>
        <v>1168455.4334011159</v>
      </c>
      <c r="D34" s="529">
        <f>'Unsealed Roads'!AB22</f>
        <v>688146.6284034783</v>
      </c>
      <c r="E34" s="530">
        <f>ROUND('Unsealed Roads'!AE22,-3)</f>
        <v>8801000</v>
      </c>
      <c r="F34" s="544">
        <f>ROUND('Unsealed Roads'!AF22,-3)</f>
        <v>440000</v>
      </c>
    </row>
    <row r="35" spans="1:6" ht="25" customHeight="1" x14ac:dyDescent="0.35">
      <c r="A35" s="546" t="s">
        <v>1239</v>
      </c>
      <c r="B35" s="527"/>
      <c r="C35" s="527"/>
      <c r="D35" s="527"/>
      <c r="E35" s="528"/>
      <c r="F35" s="547"/>
    </row>
    <row r="36" spans="1:6" ht="25" customHeight="1" x14ac:dyDescent="0.35">
      <c r="A36" s="542" t="s">
        <v>1414</v>
      </c>
      <c r="B36" s="529">
        <f>'ICT Towers &amp; Other Equipment'!S25</f>
        <v>483587.48707372561</v>
      </c>
      <c r="C36" s="529">
        <f>'ICT Towers &amp; Other Equipment'!U25</f>
        <v>274288.79704931891</v>
      </c>
      <c r="D36" s="529">
        <f>'ICT Towers &amp; Other Equipment'!V25</f>
        <v>209298.69002440671</v>
      </c>
      <c r="E36" s="530">
        <f>ROUND('ICT Towers &amp; Other Equipment'!Y25,-3)</f>
        <v>958000</v>
      </c>
      <c r="F36" s="544">
        <f>ROUND('ICT Towers &amp; Other Equipment'!Z25,-3)</f>
        <v>19000</v>
      </c>
    </row>
    <row r="37" spans="1:6" ht="25" customHeight="1" x14ac:dyDescent="0.35">
      <c r="A37" s="546" t="s">
        <v>1697</v>
      </c>
      <c r="B37" s="527"/>
      <c r="C37" s="527"/>
      <c r="D37" s="527"/>
      <c r="E37" s="527"/>
      <c r="F37" s="547"/>
    </row>
    <row r="38" spans="1:6" ht="25" customHeight="1" x14ac:dyDescent="0.35">
      <c r="A38" s="542" t="s">
        <v>1698</v>
      </c>
      <c r="B38" s="529">
        <v>19000000</v>
      </c>
      <c r="C38" s="529">
        <v>4200000</v>
      </c>
      <c r="D38" s="529">
        <f>B38-C38</f>
        <v>14800000</v>
      </c>
      <c r="E38" s="529">
        <v>40000000</v>
      </c>
      <c r="F38" s="544">
        <f>0.02*E38</f>
        <v>800000</v>
      </c>
    </row>
    <row r="39" spans="1:6" ht="25" customHeight="1" x14ac:dyDescent="0.35">
      <c r="A39" s="542" t="s">
        <v>1699</v>
      </c>
      <c r="B39" s="529">
        <v>60000000</v>
      </c>
      <c r="C39" s="529">
        <v>29500000</v>
      </c>
      <c r="D39" s="529">
        <v>30500000</v>
      </c>
      <c r="E39" s="529">
        <v>80000000</v>
      </c>
      <c r="F39" s="544">
        <f>0.02*E39</f>
        <v>1600000</v>
      </c>
    </row>
    <row r="40" spans="1:6" ht="25" customHeight="1" x14ac:dyDescent="0.35">
      <c r="A40" s="542" t="s">
        <v>1700</v>
      </c>
      <c r="B40" s="529">
        <v>6000000</v>
      </c>
      <c r="C40" s="529">
        <v>4100000</v>
      </c>
      <c r="D40" s="529">
        <v>1900000</v>
      </c>
      <c r="E40" s="529">
        <v>8000000</v>
      </c>
      <c r="F40" s="544">
        <f>0.02*E40</f>
        <v>160000</v>
      </c>
    </row>
    <row r="41" spans="1:6" ht="43" customHeight="1" thickBot="1" x14ac:dyDescent="0.4">
      <c r="A41" s="549" t="s">
        <v>1266</v>
      </c>
      <c r="B41" s="550">
        <f>B19+B21+B25+B30+B34+B38+B39+B40</f>
        <v>189141457.00612247</v>
      </c>
      <c r="C41" s="550">
        <f t="shared" ref="C41:F41" si="1">C19+C21+C25+C30+C34+C38+C39+C40</f>
        <v>75970074.922129184</v>
      </c>
      <c r="D41" s="550">
        <f t="shared" si="1"/>
        <v>113171382.08399326</v>
      </c>
      <c r="E41" s="550">
        <f t="shared" si="1"/>
        <v>430590184.43889999</v>
      </c>
      <c r="F41" s="551">
        <f t="shared" si="1"/>
        <v>4864620.9221944995</v>
      </c>
    </row>
    <row r="46" spans="1:6" ht="40" customHeight="1" x14ac:dyDescent="0.35"/>
    <row r="47" spans="1:6" ht="40" customHeight="1" x14ac:dyDescent="0.35"/>
    <row r="48" spans="1:6" ht="40" customHeight="1" x14ac:dyDescent="0.35"/>
    <row r="49" ht="40" customHeight="1" x14ac:dyDescent="0.35"/>
    <row r="50" ht="40" customHeight="1" x14ac:dyDescent="0.35"/>
    <row r="51" ht="40" customHeight="1" x14ac:dyDescent="0.35"/>
    <row r="52" ht="40" customHeight="1" x14ac:dyDescent="0.35"/>
    <row r="53" ht="40" customHeight="1" x14ac:dyDescent="0.35"/>
    <row r="54" ht="40" customHeight="1" x14ac:dyDescent="0.35"/>
  </sheetData>
  <mergeCells count="2">
    <mergeCell ref="B32:F32"/>
    <mergeCell ref="A1:F1"/>
  </mergeCells>
  <pageMargins left="0.7" right="0.7" top="0.75" bottom="0.75" header="0.3" footer="0.3"/>
  <pageSetup orientation="portrait" horizontalDpi="4294967293" verticalDpi="0" r:id="rId1"/>
  <headerFooter>
    <oddFooter>&amp;C_x000D_&amp;1#&amp;"Calibri"&amp;8&amp;K000000 INTERNAL. This information is accessible to ADB Management and staff. It may be shared outside ADB with appropriate permission.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722CD-68C3-496B-95C4-8F8148EF98F5}">
  <dimension ref="A1:DY53"/>
  <sheetViews>
    <sheetView topLeftCell="AO25" zoomScaleNormal="100" workbookViewId="0">
      <selection activeCell="AP26" sqref="AP26"/>
    </sheetView>
  </sheetViews>
  <sheetFormatPr defaultColWidth="8.81640625" defaultRowHeight="14" x14ac:dyDescent="0.3"/>
  <cols>
    <col min="1" max="20" width="35.6328125" style="289" customWidth="1"/>
    <col min="21" max="44" width="35.6328125" style="365" customWidth="1"/>
    <col min="45" max="47" width="8.81640625" style="282"/>
    <col min="48" max="51" width="8.81640625" style="91"/>
    <col min="52" max="54" width="8.81640625" style="91" bestFit="1" customWidth="1"/>
    <col min="55" max="55" width="8.81640625" style="91"/>
    <col min="56" max="58" width="8.81640625" style="91" bestFit="1" customWidth="1"/>
    <col min="59" max="60" width="8.81640625" style="91"/>
    <col min="61" max="61" width="12.6328125" style="91" bestFit="1" customWidth="1"/>
    <col min="62" max="62" width="11.1796875" style="91" bestFit="1" customWidth="1"/>
    <col min="63" max="63" width="10.81640625" style="91" customWidth="1"/>
    <col min="64" max="64" width="11.453125" style="91" customWidth="1"/>
    <col min="65" max="65" width="11.1796875" style="91" bestFit="1" customWidth="1"/>
    <col min="66" max="66" width="16.90625" style="91" customWidth="1"/>
    <col min="67" max="67" width="9.54296875" style="91" customWidth="1"/>
    <col min="68" max="68" width="8.81640625" style="91" bestFit="1" customWidth="1"/>
    <col min="69" max="69" width="9.1796875" style="91" bestFit="1" customWidth="1"/>
    <col min="70" max="71" width="8.81640625" style="91" bestFit="1" customWidth="1"/>
    <col min="72" max="72" width="9.1796875" style="91" bestFit="1" customWidth="1"/>
    <col min="73" max="73" width="16.36328125" style="91" customWidth="1"/>
    <col min="74" max="74" width="10" style="91" customWidth="1"/>
    <col min="75" max="75" width="8.81640625" style="91" bestFit="1" customWidth="1"/>
    <col min="76" max="76" width="9.1796875" style="91" bestFit="1" customWidth="1"/>
    <col min="77" max="78" width="8.81640625" style="91" bestFit="1" customWidth="1"/>
    <col min="79" max="79" width="10.81640625" style="91" customWidth="1"/>
    <col min="80" max="80" width="8.90625" style="91" bestFit="1" customWidth="1"/>
    <col min="81" max="81" width="9.1796875" style="91" bestFit="1" customWidth="1"/>
    <col min="82" max="83" width="8.90625" style="91" bestFit="1" customWidth="1"/>
    <col min="84" max="84" width="8.81640625" style="91" customWidth="1"/>
    <col min="85" max="85" width="10.08984375" style="91" customWidth="1"/>
    <col min="86" max="86" width="8.81640625" style="91" bestFit="1" customWidth="1"/>
    <col min="87" max="87" width="9.1796875" style="91" bestFit="1" customWidth="1"/>
    <col min="88" max="89" width="8.81640625" style="91" bestFit="1" customWidth="1"/>
    <col min="90" max="90" width="11.1796875" style="91" bestFit="1" customWidth="1"/>
    <col min="91" max="96" width="11.08984375" style="91" customWidth="1"/>
    <col min="97" max="97" width="9.453125" style="91" customWidth="1"/>
    <col min="98" max="98" width="8.81640625" style="91" bestFit="1" customWidth="1"/>
    <col min="99" max="99" width="11.1796875" style="91" bestFit="1" customWidth="1"/>
    <col min="100" max="101" width="8.81640625" style="91" bestFit="1" customWidth="1"/>
    <col min="102" max="102" width="11.1796875" style="91" bestFit="1" customWidth="1"/>
    <col min="103" max="103" width="9.6328125" style="91" customWidth="1"/>
    <col min="104" max="104" width="8.81640625" style="91" bestFit="1" customWidth="1"/>
    <col min="105" max="105" width="9.1796875" style="91" bestFit="1" customWidth="1"/>
    <col min="106" max="107" width="8.81640625" style="91" bestFit="1" customWidth="1"/>
    <col min="108" max="108" width="9.1796875" style="91" bestFit="1" customWidth="1"/>
    <col min="109" max="109" width="12.1796875" style="91" customWidth="1"/>
    <col min="110" max="110" width="10.1796875" style="91" customWidth="1"/>
    <col min="111" max="111" width="8.81640625" style="91" bestFit="1" customWidth="1"/>
    <col min="112" max="112" width="9.1796875" style="91" bestFit="1" customWidth="1"/>
    <col min="113" max="114" width="8.81640625" style="91" bestFit="1" customWidth="1"/>
    <col min="115" max="115" width="11.1796875" style="91" bestFit="1" customWidth="1"/>
    <col min="116" max="116" width="9.90625" style="91" customWidth="1"/>
    <col min="117" max="121" width="8.81640625" style="91" bestFit="1" customWidth="1"/>
    <col min="122" max="16384" width="8.81640625" style="91"/>
  </cols>
  <sheetData>
    <row r="1" spans="1:121" ht="39" customHeight="1" x14ac:dyDescent="0.3">
      <c r="A1" s="663" t="s">
        <v>32</v>
      </c>
      <c r="B1" s="664"/>
      <c r="C1" s="433">
        <v>2023</v>
      </c>
      <c r="D1" s="365"/>
      <c r="E1" s="365"/>
      <c r="F1" s="365"/>
      <c r="G1" s="365"/>
      <c r="H1" s="365"/>
      <c r="I1" s="365"/>
      <c r="J1" s="365"/>
      <c r="K1" s="365"/>
      <c r="L1" s="365"/>
      <c r="M1" s="365"/>
      <c r="N1" s="365"/>
      <c r="O1" s="365"/>
      <c r="P1" s="365"/>
    </row>
    <row r="2" spans="1:121" ht="43" customHeight="1" thickBot="1" x14ac:dyDescent="0.35">
      <c r="A2" s="584" t="s">
        <v>1403</v>
      </c>
      <c r="B2" s="585"/>
      <c r="C2" s="585"/>
      <c r="D2" s="585"/>
      <c r="E2" s="585"/>
      <c r="F2" s="585"/>
      <c r="G2" s="585"/>
      <c r="H2" s="585"/>
      <c r="I2" s="585"/>
      <c r="J2" s="585"/>
      <c r="K2" s="586"/>
      <c r="L2" s="585" t="s">
        <v>298</v>
      </c>
      <c r="M2" s="585"/>
      <c r="N2" s="585"/>
      <c r="O2" s="585"/>
      <c r="P2" s="585"/>
      <c r="Q2" s="585"/>
      <c r="R2" s="585"/>
      <c r="S2" s="585"/>
      <c r="T2" s="586"/>
      <c r="U2" s="665" t="s">
        <v>267</v>
      </c>
      <c r="V2" s="666"/>
      <c r="W2" s="666"/>
      <c r="X2" s="666"/>
      <c r="Y2" s="666"/>
      <c r="Z2" s="666"/>
      <c r="AA2" s="666"/>
      <c r="AB2" s="666"/>
      <c r="AC2" s="666"/>
      <c r="AD2" s="666"/>
      <c r="AE2" s="666"/>
      <c r="AF2" s="666"/>
      <c r="AG2" s="667"/>
      <c r="AH2" s="665" t="s">
        <v>268</v>
      </c>
      <c r="AI2" s="666"/>
      <c r="AJ2" s="666"/>
      <c r="AK2" s="666"/>
      <c r="AL2" s="666"/>
      <c r="AM2" s="666"/>
      <c r="AN2" s="666"/>
      <c r="AO2" s="666"/>
      <c r="AP2" s="666"/>
      <c r="AQ2" s="434"/>
      <c r="AR2" s="434"/>
      <c r="CA2" s="589" t="s">
        <v>828</v>
      </c>
      <c r="CB2" s="589"/>
      <c r="CC2" s="589"/>
      <c r="CD2" s="589"/>
      <c r="CE2" s="589"/>
      <c r="CF2" s="589"/>
      <c r="CG2" s="589"/>
      <c r="CH2" s="589"/>
      <c r="CI2" s="589"/>
      <c r="CJ2" s="589"/>
      <c r="CK2" s="589"/>
      <c r="CL2" s="589"/>
      <c r="CM2" s="93"/>
      <c r="CN2" s="93"/>
      <c r="CO2" s="93"/>
      <c r="CP2" s="93"/>
      <c r="CQ2" s="93"/>
      <c r="CR2" s="93"/>
      <c r="CS2" s="589" t="s">
        <v>829</v>
      </c>
      <c r="CT2" s="589"/>
      <c r="CU2" s="589"/>
      <c r="CV2" s="589"/>
      <c r="CW2" s="589"/>
      <c r="CX2" s="589"/>
      <c r="CY2" s="589"/>
      <c r="CZ2" s="589"/>
      <c r="DA2" s="589"/>
      <c r="DB2" s="589"/>
      <c r="DC2" s="589"/>
      <c r="DD2" s="93"/>
      <c r="DE2" s="93"/>
    </row>
    <row r="3" spans="1:121" ht="73" customHeight="1" thickTop="1" x14ac:dyDescent="0.3">
      <c r="A3" s="293" t="s">
        <v>0</v>
      </c>
      <c r="B3" s="294" t="s">
        <v>34</v>
      </c>
      <c r="C3" s="294" t="s">
        <v>250</v>
      </c>
      <c r="D3" s="294" t="s">
        <v>251</v>
      </c>
      <c r="E3" s="294" t="s">
        <v>1</v>
      </c>
      <c r="F3" s="294" t="s">
        <v>2</v>
      </c>
      <c r="G3" s="294" t="s">
        <v>252</v>
      </c>
      <c r="H3" s="294" t="s">
        <v>711</v>
      </c>
      <c r="I3" s="294" t="s">
        <v>712</v>
      </c>
      <c r="J3" s="294" t="s">
        <v>713</v>
      </c>
      <c r="K3" s="294" t="s">
        <v>714</v>
      </c>
      <c r="L3" s="616" t="s">
        <v>253</v>
      </c>
      <c r="M3" s="625"/>
      <c r="N3" s="625"/>
      <c r="O3" s="625"/>
      <c r="P3" s="625"/>
      <c r="Q3" s="616" t="s">
        <v>255</v>
      </c>
      <c r="R3" s="626"/>
      <c r="S3" s="616" t="s">
        <v>258</v>
      </c>
      <c r="T3" s="626"/>
      <c r="U3" s="673" t="s">
        <v>259</v>
      </c>
      <c r="V3" s="668" t="s">
        <v>38</v>
      </c>
      <c r="W3" s="669"/>
      <c r="X3" s="668" t="s">
        <v>261</v>
      </c>
      <c r="Y3" s="670"/>
      <c r="Z3" s="438"/>
      <c r="AA3" s="438"/>
      <c r="AB3" s="670" t="s">
        <v>262</v>
      </c>
      <c r="AC3" s="670"/>
      <c r="AD3" s="670" t="s">
        <v>263</v>
      </c>
      <c r="AE3" s="670" t="s">
        <v>326</v>
      </c>
      <c r="AF3" s="669" t="s">
        <v>33</v>
      </c>
      <c r="AG3" s="673" t="s">
        <v>264</v>
      </c>
      <c r="AH3" s="673" t="s">
        <v>265</v>
      </c>
      <c r="AI3" s="673" t="s">
        <v>266</v>
      </c>
      <c r="AJ3" s="668" t="s">
        <v>53</v>
      </c>
      <c r="AK3" s="670"/>
      <c r="AL3" s="670"/>
      <c r="AM3" s="670"/>
      <c r="AN3" s="670"/>
      <c r="AO3" s="437" t="s">
        <v>1574</v>
      </c>
      <c r="AP3" s="436" t="s">
        <v>1442</v>
      </c>
      <c r="AQ3" s="436"/>
      <c r="AR3" s="671" t="s">
        <v>1428</v>
      </c>
      <c r="AZ3" s="299" t="s">
        <v>809</v>
      </c>
      <c r="BI3" s="589" t="s">
        <v>816</v>
      </c>
      <c r="BJ3" s="589"/>
      <c r="BK3" s="589"/>
      <c r="BL3" s="589"/>
      <c r="BM3" s="589"/>
      <c r="BN3" s="589"/>
      <c r="BO3" s="589" t="s">
        <v>262</v>
      </c>
      <c r="BP3" s="589"/>
      <c r="BQ3" s="589"/>
      <c r="BR3" s="589"/>
      <c r="BS3" s="589"/>
      <c r="BT3" s="589"/>
      <c r="BU3" s="93"/>
      <c r="BV3" s="589" t="s">
        <v>825</v>
      </c>
      <c r="BW3" s="589"/>
      <c r="BX3" s="589"/>
      <c r="BY3" s="589"/>
      <c r="BZ3" s="589"/>
      <c r="CA3" s="589" t="s">
        <v>827</v>
      </c>
      <c r="CB3" s="589"/>
      <c r="CC3" s="589"/>
      <c r="CD3" s="589"/>
      <c r="CE3" s="589"/>
      <c r="CF3" s="589"/>
      <c r="CG3" s="589" t="s">
        <v>826</v>
      </c>
      <c r="CH3" s="589"/>
      <c r="CI3" s="589"/>
      <c r="CJ3" s="589"/>
      <c r="CK3" s="589"/>
      <c r="CL3" s="589"/>
      <c r="CM3" s="589" t="s">
        <v>833</v>
      </c>
      <c r="CN3" s="589"/>
      <c r="CO3" s="589"/>
      <c r="CP3" s="589"/>
      <c r="CQ3" s="589"/>
      <c r="CR3" s="589"/>
      <c r="CS3" s="589" t="s">
        <v>830</v>
      </c>
      <c r="CT3" s="589"/>
      <c r="CU3" s="589"/>
      <c r="CV3" s="589"/>
      <c r="CW3" s="589"/>
      <c r="CX3" s="589"/>
      <c r="CY3" s="589" t="s">
        <v>827</v>
      </c>
      <c r="CZ3" s="589"/>
      <c r="DA3" s="589"/>
      <c r="DB3" s="589"/>
      <c r="DC3" s="589"/>
      <c r="DD3" s="589"/>
      <c r="DE3" s="93"/>
      <c r="DF3" s="589" t="s">
        <v>826</v>
      </c>
      <c r="DG3" s="589"/>
      <c r="DH3" s="589"/>
      <c r="DI3" s="589"/>
      <c r="DJ3" s="589"/>
      <c r="DK3" s="589"/>
      <c r="DL3" s="589" t="s">
        <v>834</v>
      </c>
      <c r="DM3" s="589"/>
      <c r="DN3" s="589"/>
      <c r="DO3" s="589"/>
      <c r="DP3" s="589"/>
      <c r="DQ3" s="589"/>
    </row>
    <row r="4" spans="1:121" ht="47" customHeight="1" thickBot="1" x14ac:dyDescent="0.35">
      <c r="A4" s="300"/>
      <c r="B4" s="301"/>
      <c r="C4" s="302"/>
      <c r="D4" s="302"/>
      <c r="E4" s="302"/>
      <c r="F4" s="302"/>
      <c r="G4" s="302"/>
      <c r="H4" s="302"/>
      <c r="I4" s="302"/>
      <c r="J4" s="302"/>
      <c r="K4" s="302"/>
      <c r="L4" s="302" t="s">
        <v>760</v>
      </c>
      <c r="M4" s="302" t="s">
        <v>761</v>
      </c>
      <c r="N4" s="302" t="s">
        <v>762</v>
      </c>
      <c r="O4" s="302" t="s">
        <v>763</v>
      </c>
      <c r="P4" s="302" t="s">
        <v>822</v>
      </c>
      <c r="Q4" s="302" t="s">
        <v>256</v>
      </c>
      <c r="R4" s="302" t="s">
        <v>735</v>
      </c>
      <c r="S4" s="302" t="s">
        <v>256</v>
      </c>
      <c r="T4" s="302" t="s">
        <v>736</v>
      </c>
      <c r="U4" s="674"/>
      <c r="V4" s="439" t="s">
        <v>38</v>
      </c>
      <c r="W4" s="439" t="s">
        <v>260</v>
      </c>
      <c r="X4" s="439" t="s">
        <v>261</v>
      </c>
      <c r="Y4" s="439" t="s">
        <v>260</v>
      </c>
      <c r="Z4" s="439" t="s">
        <v>715</v>
      </c>
      <c r="AA4" s="439" t="s">
        <v>716</v>
      </c>
      <c r="AB4" s="439" t="s">
        <v>262</v>
      </c>
      <c r="AC4" s="439" t="s">
        <v>260</v>
      </c>
      <c r="AD4" s="675"/>
      <c r="AE4" s="675"/>
      <c r="AF4" s="676"/>
      <c r="AG4" s="674"/>
      <c r="AH4" s="674"/>
      <c r="AI4" s="674"/>
      <c r="AJ4" s="439" t="s">
        <v>760</v>
      </c>
      <c r="AK4" s="439" t="s">
        <v>761</v>
      </c>
      <c r="AL4" s="439" t="s">
        <v>762</v>
      </c>
      <c r="AM4" s="439" t="s">
        <v>763</v>
      </c>
      <c r="AN4" s="439" t="s">
        <v>1674</v>
      </c>
      <c r="AO4" s="439"/>
      <c r="AP4" s="441" t="s">
        <v>37</v>
      </c>
      <c r="AQ4" s="441"/>
      <c r="AR4" s="672"/>
      <c r="AZ4" s="589" t="s">
        <v>810</v>
      </c>
      <c r="BA4" s="589"/>
      <c r="BB4" s="589"/>
      <c r="BC4" s="589"/>
      <c r="BD4" s="589"/>
      <c r="BE4" s="589"/>
      <c r="BF4" s="589"/>
      <c r="BI4" s="359" t="s">
        <v>810</v>
      </c>
      <c r="BJ4" s="359" t="s">
        <v>811</v>
      </c>
      <c r="BK4" s="359" t="s">
        <v>812</v>
      </c>
      <c r="BL4" s="359" t="s">
        <v>813</v>
      </c>
      <c r="BM4" s="359" t="s">
        <v>821</v>
      </c>
      <c r="BN4" s="359" t="s">
        <v>1415</v>
      </c>
      <c r="BO4" s="359" t="s">
        <v>810</v>
      </c>
      <c r="BP4" s="359" t="s">
        <v>811</v>
      </c>
      <c r="BQ4" s="359" t="s">
        <v>812</v>
      </c>
      <c r="BR4" s="359" t="s">
        <v>813</v>
      </c>
      <c r="BS4" s="359" t="s">
        <v>821</v>
      </c>
      <c r="BT4" s="359" t="s">
        <v>824</v>
      </c>
      <c r="BU4" s="359" t="s">
        <v>831</v>
      </c>
      <c r="BV4" s="359" t="s">
        <v>810</v>
      </c>
      <c r="BW4" s="359" t="s">
        <v>811</v>
      </c>
      <c r="BX4" s="359" t="s">
        <v>812</v>
      </c>
      <c r="BY4" s="359" t="s">
        <v>813</v>
      </c>
      <c r="BZ4" s="359" t="s">
        <v>821</v>
      </c>
      <c r="CA4" s="359" t="s">
        <v>810</v>
      </c>
      <c r="CB4" s="359" t="s">
        <v>811</v>
      </c>
      <c r="CC4" s="359" t="s">
        <v>812</v>
      </c>
      <c r="CD4" s="359" t="s">
        <v>813</v>
      </c>
      <c r="CE4" s="359" t="s">
        <v>821</v>
      </c>
      <c r="CF4" s="359" t="s">
        <v>52</v>
      </c>
      <c r="CG4" s="359" t="s">
        <v>810</v>
      </c>
      <c r="CH4" s="359" t="s">
        <v>811</v>
      </c>
      <c r="CI4" s="359" t="s">
        <v>812</v>
      </c>
      <c r="CJ4" s="359" t="s">
        <v>813</v>
      </c>
      <c r="CK4" s="359" t="s">
        <v>821</v>
      </c>
      <c r="CL4" s="359" t="s">
        <v>52</v>
      </c>
      <c r="CM4" s="359" t="s">
        <v>810</v>
      </c>
      <c r="CN4" s="359" t="s">
        <v>811</v>
      </c>
      <c r="CO4" s="359" t="s">
        <v>812</v>
      </c>
      <c r="CP4" s="359" t="s">
        <v>813</v>
      </c>
      <c r="CQ4" s="359" t="s">
        <v>821</v>
      </c>
      <c r="CR4" s="359" t="s">
        <v>52</v>
      </c>
      <c r="CS4" s="359" t="s">
        <v>810</v>
      </c>
      <c r="CT4" s="359" t="s">
        <v>811</v>
      </c>
      <c r="CU4" s="359" t="s">
        <v>812</v>
      </c>
      <c r="CV4" s="359" t="s">
        <v>813</v>
      </c>
      <c r="CW4" s="359" t="s">
        <v>821</v>
      </c>
      <c r="CX4" s="359" t="s">
        <v>52</v>
      </c>
      <c r="CY4" s="359" t="s">
        <v>810</v>
      </c>
      <c r="CZ4" s="359" t="s">
        <v>811</v>
      </c>
      <c r="DA4" s="359" t="s">
        <v>812</v>
      </c>
      <c r="DB4" s="359" t="s">
        <v>813</v>
      </c>
      <c r="DC4" s="359" t="s">
        <v>821</v>
      </c>
      <c r="DD4" s="359" t="s">
        <v>52</v>
      </c>
      <c r="DE4" s="359" t="s">
        <v>832</v>
      </c>
      <c r="DF4" s="359" t="s">
        <v>810</v>
      </c>
      <c r="DG4" s="359" t="s">
        <v>811</v>
      </c>
      <c r="DH4" s="359" t="s">
        <v>812</v>
      </c>
      <c r="DI4" s="359" t="s">
        <v>813</v>
      </c>
      <c r="DJ4" s="359" t="s">
        <v>821</v>
      </c>
      <c r="DK4" s="359" t="s">
        <v>52</v>
      </c>
      <c r="DL4" s="359" t="s">
        <v>810</v>
      </c>
      <c r="DM4" s="359" t="s">
        <v>811</v>
      </c>
      <c r="DN4" s="359" t="s">
        <v>812</v>
      </c>
      <c r="DO4" s="359" t="s">
        <v>813</v>
      </c>
      <c r="DP4" s="359" t="s">
        <v>821</v>
      </c>
      <c r="DQ4" s="359" t="s">
        <v>52</v>
      </c>
    </row>
    <row r="5" spans="1:121" ht="30" customHeight="1" thickTop="1" x14ac:dyDescent="0.3">
      <c r="A5" s="312" t="s">
        <v>1288</v>
      </c>
      <c r="B5" s="442" t="s">
        <v>717</v>
      </c>
      <c r="C5" s="313" t="s">
        <v>1255</v>
      </c>
      <c r="D5" s="313" t="s">
        <v>124</v>
      </c>
      <c r="E5" s="313" t="s">
        <v>718</v>
      </c>
      <c r="F5" s="313" t="s">
        <v>211</v>
      </c>
      <c r="G5" s="313" t="s">
        <v>719</v>
      </c>
      <c r="H5" s="313" t="s">
        <v>731</v>
      </c>
      <c r="I5" s="313" t="s">
        <v>732</v>
      </c>
      <c r="J5" s="313" t="s">
        <v>733</v>
      </c>
      <c r="K5" s="313" t="s">
        <v>734</v>
      </c>
      <c r="L5" s="314" t="s">
        <v>12</v>
      </c>
      <c r="M5" s="314" t="s">
        <v>11</v>
      </c>
      <c r="N5" s="314" t="s">
        <v>817</v>
      </c>
      <c r="O5" s="314" t="s">
        <v>814</v>
      </c>
      <c r="P5" s="313">
        <v>6</v>
      </c>
      <c r="Q5" s="313" t="s">
        <v>194</v>
      </c>
      <c r="R5" s="320">
        <v>1110</v>
      </c>
      <c r="S5" s="313" t="s">
        <v>194</v>
      </c>
      <c r="T5" s="313">
        <v>7.2</v>
      </c>
      <c r="U5" s="313">
        <f>'GRC and TUL Assumptions'!G28</f>
        <v>75</v>
      </c>
      <c r="V5" s="313">
        <v>1973</v>
      </c>
      <c r="W5" s="313" t="s">
        <v>982</v>
      </c>
      <c r="X5" s="313">
        <f>V5</f>
        <v>1973</v>
      </c>
      <c r="Y5" s="313" t="s">
        <v>800</v>
      </c>
      <c r="Z5" s="313">
        <v>1992</v>
      </c>
      <c r="AA5" s="313" t="s">
        <v>801</v>
      </c>
      <c r="AB5" s="443">
        <f>BT5+CX5</f>
        <v>320187.57679267891</v>
      </c>
      <c r="AC5" s="313" t="s">
        <v>800</v>
      </c>
      <c r="AD5" s="510">
        <f>CL5+DK5</f>
        <v>253512.68245311326</v>
      </c>
      <c r="AE5" s="515">
        <f>AB5-AD5</f>
        <v>66674.894339565653</v>
      </c>
      <c r="AF5" s="510">
        <f>CR5+DQ5</f>
        <v>1438.794973445833</v>
      </c>
      <c r="AG5" s="515">
        <f>AE5-AF5</f>
        <v>65236.099366119823</v>
      </c>
      <c r="AH5" s="511">
        <f>HLOOKUP($C$1,'Inflation Adjustments'!$BI$3:$BT$4,2)*BN5</f>
        <v>1787062.8935249997</v>
      </c>
      <c r="AI5" s="510">
        <f>IF(AR5="In-Service",'Maintenace Cost Assumptions'!B$5*('Sealed Roads'!BK5+'Sealed Roads'!BL5+'Sealed Roads'!BM5),0)</f>
        <v>7016.4000000000005</v>
      </c>
      <c r="AJ5" s="313">
        <v>4</v>
      </c>
      <c r="AK5" s="314">
        <v>4</v>
      </c>
      <c r="AL5" s="314">
        <v>3</v>
      </c>
      <c r="AM5" s="314">
        <v>3</v>
      </c>
      <c r="AN5" s="313">
        <v>2</v>
      </c>
      <c r="AO5" s="313">
        <v>3</v>
      </c>
      <c r="AP5" s="319">
        <f>(AJ5*'Condition rating weights'!H$15+AK5*'Condition rating weights'!I$15+AL5*'Condition rating weights'!J$15+AM5*'Condition rating weights'!K$15+AN5*'Condition rating weights'!L$15+AO5*'Condition rating weights'!R$15)/100</f>
        <v>0.63</v>
      </c>
      <c r="AQ5" s="445"/>
      <c r="AR5" s="446" t="s">
        <v>1431</v>
      </c>
      <c r="AZ5" s="447" t="str">
        <f>'GRC and TUL Assumptions'!C24</f>
        <v>Flat</v>
      </c>
      <c r="BA5" s="447" t="str">
        <f>'GRC and TUL Assumptions'!D24</f>
        <v>Rolling</v>
      </c>
      <c r="BB5" s="447" t="str">
        <f>'GRC and TUL Assumptions'!E24</f>
        <v>Steep</v>
      </c>
      <c r="BD5" s="91" t="s">
        <v>12</v>
      </c>
      <c r="BE5" s="91" t="s">
        <v>54</v>
      </c>
      <c r="BF5" s="91" t="s">
        <v>184</v>
      </c>
      <c r="BH5" s="91" t="str">
        <f t="shared" ref="BH5:BH29" si="0">A5</f>
        <v>SRDT-001</v>
      </c>
      <c r="BI5" s="340">
        <f t="shared" ref="BI5:BI29" si="1">(HLOOKUP(L5,$AZ$5:$BB$6,2,TRUE))*R5*T5</f>
        <v>319680</v>
      </c>
      <c r="BJ5" s="340">
        <f t="shared" ref="BJ5:BJ29" si="2">(HLOOKUP(M5,$AZ$8:$BB$9,2,TRUE))*R5*T5</f>
        <v>175824</v>
      </c>
      <c r="BK5" s="340">
        <f t="shared" ref="BK5:BK29" si="3">(HLOOKUP(N5,$AZ$11:$BB$12,2,TRUE))*R5*T5</f>
        <v>359640</v>
      </c>
      <c r="BL5" s="340">
        <f t="shared" ref="BL5:BL29" si="4">(HLOOKUP(O5,$AZ$14:$BB$15,2,FALSE))*R5</f>
        <v>222000</v>
      </c>
      <c r="BM5" s="340">
        <f t="shared" ref="BM5:BM29" si="5">P5*$BA$18</f>
        <v>120000</v>
      </c>
      <c r="BN5" s="341">
        <f>SUM(BI5:BM5)</f>
        <v>1197144</v>
      </c>
      <c r="BO5" s="341">
        <f>(HLOOKUP($X5,'Inflation Adjustments'!$M$3:$BT$4,2,TRUE))*BI5</f>
        <v>52360.794815212095</v>
      </c>
      <c r="BP5" s="341">
        <f>(HLOOKUP($X5,'Inflation Adjustments'!$M$3:$BT$4,2,TRUE))*BJ5</f>
        <v>28798.437148366651</v>
      </c>
      <c r="BQ5" s="341">
        <f>(HLOOKUP($X5,'Inflation Adjustments'!$M$3:$BT$4,2,TRUE))*BK5</f>
        <v>58905.894167113605</v>
      </c>
      <c r="BR5" s="341">
        <f>(HLOOKUP($X5,'Inflation Adjustments'!$M$3:$BT$4,2,TRUE))*BL5</f>
        <v>36361.663066119509</v>
      </c>
      <c r="BS5" s="341">
        <f>(HLOOKUP($X5,'Inflation Adjustments'!$M$3:$BT$4,2,TRUE))*BM5</f>
        <v>19654.953008713248</v>
      </c>
      <c r="BT5" s="341">
        <f>SUM(BO5:BS5)</f>
        <v>196081.74220552511</v>
      </c>
      <c r="BU5" s="448">
        <f t="shared" ref="BU5:BU29" si="6">$C$1-X5-1</f>
        <v>49</v>
      </c>
      <c r="BV5" s="93" t="s">
        <v>179</v>
      </c>
      <c r="BW5" s="448">
        <f t="shared" ref="BW5:BW29" si="7">HLOOKUP(M5,$BD$8:$BF$9,2,TRUE)</f>
        <v>75</v>
      </c>
      <c r="BX5" s="448">
        <f t="shared" ref="BX5:BX29" si="8">HLOOKUP(N5,$BD$11:$BF$12,2,TRUE)</f>
        <v>25</v>
      </c>
      <c r="BY5" s="448">
        <f t="shared" ref="BY5:BY29" si="9">HLOOKUP(O5,$BD$14:$BF$15,2,FALSE)</f>
        <v>50</v>
      </c>
      <c r="BZ5" s="93">
        <v>60</v>
      </c>
      <c r="CA5" s="449">
        <v>0</v>
      </c>
      <c r="CB5" s="340">
        <f>1/BW5*BP5</f>
        <v>383.97916197822201</v>
      </c>
      <c r="CC5" s="340">
        <f>1/BX5*BQ5</f>
        <v>2356.2357666845442</v>
      </c>
      <c r="CD5" s="340">
        <f>1/BY5*BR5</f>
        <v>727.23326132239015</v>
      </c>
      <c r="CE5" s="340">
        <f>1/BZ5*BS5</f>
        <v>327.58255014522081</v>
      </c>
      <c r="CF5" s="340"/>
      <c r="CG5" s="449">
        <v>0</v>
      </c>
      <c r="CH5" s="340">
        <f>IF(CB5*$BU5&gt;BP5,BP5,CB5*$BU5)</f>
        <v>18814.978936932879</v>
      </c>
      <c r="CI5" s="340">
        <f>IF(CC5*$BU5&gt;BQ5,BQ5,CC5*$BU5)</f>
        <v>58905.894167113605</v>
      </c>
      <c r="CJ5" s="340">
        <f>IF(CD5*$BU5&gt;BR5,BR5,CD5*$BU5)</f>
        <v>35634.429804797117</v>
      </c>
      <c r="CK5" s="340">
        <f>IF(CE5*$BU5&gt;BS5,BS5,CE5*$BU5)</f>
        <v>16051.544957115819</v>
      </c>
      <c r="CL5" s="341">
        <f>SUM(CG5:CK5)</f>
        <v>129406.84786595941</v>
      </c>
      <c r="CM5" s="449">
        <v>0</v>
      </c>
      <c r="CN5" s="340">
        <f>IF(CB5&lt;(BP5-CH5),CB5,(BP5-CH5))</f>
        <v>383.97916197822201</v>
      </c>
      <c r="CO5" s="340">
        <f>IF(CC5&lt;(BQ5-CI5),CC5,(BQ5-CI5))</f>
        <v>0</v>
      </c>
      <c r="CP5" s="340">
        <f>IF(CD5&lt;(BR5-CJ5),CD5,(BR5-CJ5))</f>
        <v>727.23326132239015</v>
      </c>
      <c r="CQ5" s="340">
        <f>IF(CE5&lt;(BS5-CK5),CE5,(BS5-CK5))</f>
        <v>327.58255014522081</v>
      </c>
      <c r="CR5" s="341">
        <f>SUM(CM5:CQ5)</f>
        <v>1438.794973445833</v>
      </c>
      <c r="CS5" s="449">
        <v>0</v>
      </c>
      <c r="CT5" s="449">
        <v>0</v>
      </c>
      <c r="CU5" s="341">
        <f>(HLOOKUP($Z5,'Inflation Adjustments'!$M$3:$BT$4,2,TRUE))*BK5</f>
        <v>124105.83458715383</v>
      </c>
      <c r="CV5" s="449">
        <v>0</v>
      </c>
      <c r="CW5" s="449">
        <v>0</v>
      </c>
      <c r="CX5" s="341">
        <f>SUM(CS5:CW5)</f>
        <v>124105.83458715383</v>
      </c>
      <c r="CY5" s="450">
        <v>0</v>
      </c>
      <c r="CZ5" s="450">
        <v>0</v>
      </c>
      <c r="DA5" s="340">
        <f>1/BX5*CU5</f>
        <v>4964.2333834861538</v>
      </c>
      <c r="DB5" s="450">
        <v>0</v>
      </c>
      <c r="DC5" s="450">
        <v>0</v>
      </c>
      <c r="DD5" s="341">
        <f>SUM(CY5:DC5)</f>
        <v>4964.2333834861538</v>
      </c>
      <c r="DE5" s="91">
        <f t="shared" ref="DE5:DE26" si="10">$C$1-Z5</f>
        <v>31</v>
      </c>
      <c r="DF5" s="450">
        <v>0</v>
      </c>
      <c r="DG5" s="450">
        <v>0</v>
      </c>
      <c r="DH5" s="340">
        <f t="shared" ref="DH5:DH26" si="11">IF(DA5*$DE5&gt;CX5,CX5,C5*$DE5)</f>
        <v>124105.83458715383</v>
      </c>
      <c r="DI5" s="450">
        <v>0</v>
      </c>
      <c r="DJ5" s="450">
        <v>0</v>
      </c>
      <c r="DK5" s="341">
        <f>SUM(DF5:DJ5)</f>
        <v>124105.83458715383</v>
      </c>
      <c r="DL5" s="450">
        <v>0</v>
      </c>
      <c r="DM5" s="450">
        <v>0</v>
      </c>
      <c r="DN5" s="449">
        <f>IF(DA5&lt;(CX5-DK5),DA5,(CX5-DK5))</f>
        <v>0</v>
      </c>
      <c r="DO5" s="449">
        <v>0</v>
      </c>
      <c r="DP5" s="449">
        <v>0</v>
      </c>
      <c r="DQ5" s="450">
        <f>SUM(DL5:DP5)</f>
        <v>0</v>
      </c>
    </row>
    <row r="6" spans="1:121" ht="30" customHeight="1" x14ac:dyDescent="0.3">
      <c r="A6" s="330" t="s">
        <v>1289</v>
      </c>
      <c r="B6" s="451" t="s">
        <v>717</v>
      </c>
      <c r="C6" s="318" t="s">
        <v>1255</v>
      </c>
      <c r="D6" s="318" t="s">
        <v>124</v>
      </c>
      <c r="E6" s="318" t="s">
        <v>718</v>
      </c>
      <c r="F6" s="318" t="s">
        <v>211</v>
      </c>
      <c r="G6" s="318" t="s">
        <v>720</v>
      </c>
      <c r="H6" s="318" t="str">
        <f t="shared" ref="H6:I12" si="12">J5</f>
        <v>S   00.50481</v>
      </c>
      <c r="I6" s="318" t="str">
        <f t="shared" si="12"/>
        <v>E 166.94861</v>
      </c>
      <c r="J6" s="318" t="s">
        <v>737</v>
      </c>
      <c r="K6" s="318" t="s">
        <v>738</v>
      </c>
      <c r="L6" s="318" t="s">
        <v>12</v>
      </c>
      <c r="M6" s="318" t="s">
        <v>11</v>
      </c>
      <c r="N6" s="318" t="s">
        <v>817</v>
      </c>
      <c r="O6" s="318" t="s">
        <v>814</v>
      </c>
      <c r="P6" s="318">
        <v>5</v>
      </c>
      <c r="Q6" s="318" t="s">
        <v>194</v>
      </c>
      <c r="R6" s="333">
        <v>1440</v>
      </c>
      <c r="S6" s="318" t="s">
        <v>194</v>
      </c>
      <c r="T6" s="318">
        <v>7.2</v>
      </c>
      <c r="U6" s="318">
        <v>60</v>
      </c>
      <c r="V6" s="318">
        <v>1973</v>
      </c>
      <c r="W6" s="318" t="s">
        <v>982</v>
      </c>
      <c r="X6" s="318">
        <f>V6</f>
        <v>1973</v>
      </c>
      <c r="Y6" s="318" t="str">
        <f>W6</f>
        <v>Actual</v>
      </c>
      <c r="Z6" s="318">
        <v>1992</v>
      </c>
      <c r="AA6" s="318" t="s">
        <v>801</v>
      </c>
      <c r="AB6" s="452">
        <f>BT6+CX6</f>
        <v>406259.28809186514</v>
      </c>
      <c r="AC6" s="318" t="s">
        <v>800</v>
      </c>
      <c r="AD6" s="511">
        <f>CL6+DK6</f>
        <v>321433.97935096256</v>
      </c>
      <c r="AE6" s="516">
        <f>AB6-AD6</f>
        <v>84825.308740902576</v>
      </c>
      <c r="AF6" s="511">
        <f>CR6+DQ6</f>
        <v>1714.5583319254113</v>
      </c>
      <c r="AG6" s="516">
        <f>AE6-AF6</f>
        <v>83110.750408977168</v>
      </c>
      <c r="AH6" s="511">
        <f>HLOOKUP($C$1,'Inflation Adjustments'!$BI$3:$BT$4,2)*BN6</f>
        <v>2235240.7790999999</v>
      </c>
      <c r="AI6" s="511">
        <f>IF(AR6="In-Service",'Maintenace Cost Assumptions'!B$5*('Sealed Roads'!BK6+'Sealed Roads'!BL6+'Sealed Roads'!BM6),0)</f>
        <v>8545.6</v>
      </c>
      <c r="AJ6" s="318">
        <v>4</v>
      </c>
      <c r="AK6" s="318">
        <v>4</v>
      </c>
      <c r="AL6" s="318">
        <v>3</v>
      </c>
      <c r="AM6" s="318">
        <v>3</v>
      </c>
      <c r="AN6" s="318">
        <v>2</v>
      </c>
      <c r="AO6" s="318">
        <v>3</v>
      </c>
      <c r="AP6" s="332">
        <f>(AJ6*'Condition rating weights'!H$15+AK6*'Condition rating weights'!I$15+AL6*'Condition rating weights'!J$15+AM6*'Condition rating weights'!K$15+AN6*'Condition rating weights'!L$15+AO6*'Condition rating weights'!R$15)/100</f>
        <v>0.63</v>
      </c>
      <c r="AQ6" s="453"/>
      <c r="AR6" s="454" t="s">
        <v>1431</v>
      </c>
      <c r="AZ6" s="91">
        <f>'GRC and TUL Assumptions'!C25</f>
        <v>40</v>
      </c>
      <c r="BA6" s="91">
        <f>'GRC and TUL Assumptions'!D25</f>
        <v>55</v>
      </c>
      <c r="BB6" s="91">
        <f>'GRC and TUL Assumptions'!E25</f>
        <v>110</v>
      </c>
      <c r="BD6" s="447" t="str">
        <f>'GRC and TUL Assumptions'!F25</f>
        <v>N/A</v>
      </c>
      <c r="BE6" s="447" t="str">
        <f>'GRC and TUL Assumptions'!G25</f>
        <v>N/A</v>
      </c>
      <c r="BF6" s="447" t="str">
        <f>'GRC and TUL Assumptions'!H25</f>
        <v>N/A</v>
      </c>
      <c r="BH6" s="91" t="str">
        <f t="shared" si="0"/>
        <v>SRDT-002</v>
      </c>
      <c r="BI6" s="340">
        <f t="shared" si="1"/>
        <v>414720</v>
      </c>
      <c r="BJ6" s="340">
        <f t="shared" si="2"/>
        <v>228096</v>
      </c>
      <c r="BK6" s="340">
        <f t="shared" si="3"/>
        <v>466560</v>
      </c>
      <c r="BL6" s="340">
        <f t="shared" si="4"/>
        <v>288000</v>
      </c>
      <c r="BM6" s="340">
        <f t="shared" si="5"/>
        <v>100000</v>
      </c>
      <c r="BN6" s="341">
        <f t="shared" ref="BN6:BN28" si="13">SUM(BI6:BM6)</f>
        <v>1497376</v>
      </c>
      <c r="BO6" s="341">
        <f>(HLOOKUP($X6,'Inflation Adjustments'!$M$3:$BT$4,2,TRUE))*BI6</f>
        <v>67927.517598112987</v>
      </c>
      <c r="BP6" s="341">
        <f>(HLOOKUP($X6,'Inflation Adjustments'!$M$3:$BT$4,2,TRUE))*BJ6</f>
        <v>37360.134678962146</v>
      </c>
      <c r="BQ6" s="341">
        <f>(HLOOKUP($X6,'Inflation Adjustments'!$M$3:$BT$4,2,TRUE))*BK6</f>
        <v>76418.457297877103</v>
      </c>
      <c r="BR6" s="341">
        <f>(HLOOKUP($X6,'Inflation Adjustments'!$M$3:$BT$4,2,TRUE))*BL6</f>
        <v>47171.887220911798</v>
      </c>
      <c r="BS6" s="341">
        <f>(HLOOKUP($X6,'Inflation Adjustments'!$M$3:$BT$4,2,TRUE))*BM6</f>
        <v>16379.127507261041</v>
      </c>
      <c r="BT6" s="341">
        <f t="shared" ref="BT6:BT28" si="14">SUM(BO6:BS6)</f>
        <v>245257.12430312505</v>
      </c>
      <c r="BU6" s="448">
        <f t="shared" si="6"/>
        <v>49</v>
      </c>
      <c r="BV6" s="93" t="s">
        <v>179</v>
      </c>
      <c r="BW6" s="448">
        <f t="shared" si="7"/>
        <v>75</v>
      </c>
      <c r="BX6" s="448">
        <f t="shared" si="8"/>
        <v>25</v>
      </c>
      <c r="BY6" s="448">
        <f t="shared" si="9"/>
        <v>50</v>
      </c>
      <c r="BZ6" s="93">
        <v>60</v>
      </c>
      <c r="CA6" s="449">
        <v>0</v>
      </c>
      <c r="CB6" s="340">
        <f t="shared" ref="CB6:CB28" si="15">1/BW6*BP6</f>
        <v>498.13512905282863</v>
      </c>
      <c r="CC6" s="340">
        <f t="shared" ref="CC6:CC28" si="16">1/BX6*BQ6</f>
        <v>3056.7382919150841</v>
      </c>
      <c r="CD6" s="340">
        <f t="shared" ref="CD6:CD25" si="17">1/BY6*BR6</f>
        <v>943.43774441823598</v>
      </c>
      <c r="CE6" s="340">
        <f t="shared" ref="CE6:CE28" si="18">1/BZ6*BS6</f>
        <v>272.98545845435069</v>
      </c>
      <c r="CF6" s="340"/>
      <c r="CG6" s="449">
        <v>0</v>
      </c>
      <c r="CH6" s="340">
        <f t="shared" ref="CH6:CH28" si="19">IF(CB6*$BU6&gt;BP6,BP6,CB6*$BU6)</f>
        <v>24408.621323588603</v>
      </c>
      <c r="CI6" s="340">
        <f t="shared" ref="CI6:CI28" si="20">IF(CC6*$BU6&gt;BQ6,BQ6,CC6*$BU6)</f>
        <v>76418.457297877103</v>
      </c>
      <c r="CJ6" s="340">
        <f t="shared" ref="CJ6:CJ28" si="21">IF(CD6*$BU6&gt;BR6,BR6,CD6*$BU6)</f>
        <v>46228.449476493566</v>
      </c>
      <c r="CK6" s="340">
        <f t="shared" ref="CK6:CK28" si="22">IF(CE6*$BU6&gt;BS6,BS6,CE6*$BU6)</f>
        <v>13376.287464263183</v>
      </c>
      <c r="CL6" s="341">
        <f t="shared" ref="CL6:CL28" si="23">SUM(CG6:CK6)</f>
        <v>160431.81556222247</v>
      </c>
      <c r="CM6" s="449">
        <v>0</v>
      </c>
      <c r="CN6" s="340">
        <f t="shared" ref="CN6:CN29" si="24">IF(CB6&lt;(BP6-CH6),CB6,(BP6-CH6))</f>
        <v>498.13512905282863</v>
      </c>
      <c r="CO6" s="340">
        <f t="shared" ref="CO6:CO29" si="25">IF(CC6&lt;(BQ6-CI6),CC6,(BQ6-CI6))</f>
        <v>0</v>
      </c>
      <c r="CP6" s="340">
        <f t="shared" ref="CP6:CP29" si="26">IF(CD6&lt;(BR6-CJ6),CD6,(BR6-CJ6))</f>
        <v>943.43774441823189</v>
      </c>
      <c r="CQ6" s="340">
        <f t="shared" ref="CQ6:CQ29" si="27">IF(CE6&lt;(BS6-CK6),CE6,(BS6-CK6))</f>
        <v>272.98545845435069</v>
      </c>
      <c r="CR6" s="341">
        <f t="shared" ref="CR6:CR29" si="28">SUM(CM6:CQ6)</f>
        <v>1714.5583319254113</v>
      </c>
      <c r="CS6" s="449">
        <v>0</v>
      </c>
      <c r="CT6" s="449">
        <v>0</v>
      </c>
      <c r="CU6" s="341">
        <f>(HLOOKUP($Z6,'Inflation Adjustments'!$M$3:$BT$4,2,TRUE))*BK6</f>
        <v>161002.16378874012</v>
      </c>
      <c r="CV6" s="449">
        <v>0</v>
      </c>
      <c r="CW6" s="449">
        <v>0</v>
      </c>
      <c r="CX6" s="341">
        <f t="shared" ref="CX6:CX29" si="29">SUM(CS6:CW6)</f>
        <v>161002.16378874012</v>
      </c>
      <c r="CY6" s="450">
        <v>0</v>
      </c>
      <c r="CZ6" s="450">
        <v>0</v>
      </c>
      <c r="DA6" s="340">
        <f t="shared" ref="DA6:DA29" si="30">1/BX6*CU6</f>
        <v>6440.0865515496043</v>
      </c>
      <c r="DB6" s="450">
        <v>0</v>
      </c>
      <c r="DC6" s="450">
        <v>0</v>
      </c>
      <c r="DD6" s="341">
        <f t="shared" ref="DD6:DD29" si="31">SUM(CY6:DC6)</f>
        <v>6440.0865515496043</v>
      </c>
      <c r="DE6" s="91">
        <f t="shared" si="10"/>
        <v>31</v>
      </c>
      <c r="DF6" s="450">
        <v>0</v>
      </c>
      <c r="DG6" s="450">
        <v>0</v>
      </c>
      <c r="DH6" s="340">
        <f t="shared" si="11"/>
        <v>161002.16378874012</v>
      </c>
      <c r="DI6" s="450">
        <v>0</v>
      </c>
      <c r="DJ6" s="450">
        <v>0</v>
      </c>
      <c r="DK6" s="341">
        <f t="shared" ref="DK6:DK29" si="32">SUM(DF6:DJ6)</f>
        <v>161002.16378874012</v>
      </c>
      <c r="DL6" s="450">
        <v>0</v>
      </c>
      <c r="DM6" s="450">
        <v>0</v>
      </c>
      <c r="DN6" s="449">
        <f t="shared" ref="DN6:DN29" si="33">IF(DA6&lt;(CX6-DK6),DA6,(CX6-DK6))</f>
        <v>0</v>
      </c>
      <c r="DO6" s="449">
        <v>0</v>
      </c>
      <c r="DP6" s="449">
        <v>0</v>
      </c>
      <c r="DQ6" s="450">
        <f t="shared" ref="DQ6:DQ29" si="34">SUM(DL6:DP6)</f>
        <v>0</v>
      </c>
    </row>
    <row r="7" spans="1:121" ht="30" customHeight="1" x14ac:dyDescent="0.3">
      <c r="A7" s="330" t="s">
        <v>1290</v>
      </c>
      <c r="B7" s="451" t="s">
        <v>717</v>
      </c>
      <c r="C7" s="318" t="s">
        <v>1255</v>
      </c>
      <c r="D7" s="318" t="s">
        <v>124</v>
      </c>
      <c r="E7" s="318" t="s">
        <v>718</v>
      </c>
      <c r="F7" s="318" t="s">
        <v>211</v>
      </c>
      <c r="G7" s="318" t="s">
        <v>721</v>
      </c>
      <c r="H7" s="318" t="str">
        <f t="shared" si="12"/>
        <v>S   00.51371</v>
      </c>
      <c r="I7" s="318" t="str">
        <f t="shared" si="12"/>
        <v>E 166.95757</v>
      </c>
      <c r="J7" s="318" t="s">
        <v>739</v>
      </c>
      <c r="K7" s="318" t="s">
        <v>740</v>
      </c>
      <c r="L7" s="318" t="s">
        <v>12</v>
      </c>
      <c r="M7" s="318" t="s">
        <v>11</v>
      </c>
      <c r="N7" s="318" t="s">
        <v>817</v>
      </c>
      <c r="O7" s="318" t="s">
        <v>814</v>
      </c>
      <c r="P7" s="318">
        <v>0</v>
      </c>
      <c r="Q7" s="318" t="s">
        <v>194</v>
      </c>
      <c r="R7" s="333">
        <v>1230</v>
      </c>
      <c r="S7" s="318" t="s">
        <v>194</v>
      </c>
      <c r="T7" s="318">
        <v>7.2</v>
      </c>
      <c r="U7" s="318">
        <v>60</v>
      </c>
      <c r="V7" s="318">
        <v>1973</v>
      </c>
      <c r="W7" s="318" t="s">
        <v>982</v>
      </c>
      <c r="X7" s="318">
        <f t="shared" ref="X7:X26" si="35">V7</f>
        <v>1973</v>
      </c>
      <c r="Y7" s="318" t="str">
        <f t="shared" ref="Y7:Y26" si="36">W7</f>
        <v>Actual</v>
      </c>
      <c r="Z7" s="318">
        <v>1992</v>
      </c>
      <c r="AA7" s="318" t="s">
        <v>801</v>
      </c>
      <c r="AB7" s="452">
        <f t="shared" ref="AB7:AB26" si="37">BT7+CX7</f>
        <v>333022.63716601604</v>
      </c>
      <c r="AC7" s="318" t="s">
        <v>800</v>
      </c>
      <c r="AD7" s="511">
        <f t="shared" ref="AD7:AD26" si="38">CL7+DK7</f>
        <v>263132.61181988905</v>
      </c>
      <c r="AE7" s="516">
        <f t="shared" ref="AE7:AE26" si="39">AB7-AD7</f>
        <v>69890.025346126989</v>
      </c>
      <c r="AF7" s="511">
        <f t="shared" ref="AF7:AF26" si="40">CR7+DQ7</f>
        <v>1231.3434960898651</v>
      </c>
      <c r="AG7" s="516">
        <f t="shared" ref="AG7:AG26" si="41">AE7-AF7</f>
        <v>68658.68185003713</v>
      </c>
      <c r="AH7" s="511">
        <f>HLOOKUP($C$1,'Inflation Adjustments'!$BI$3:$BT$4,2)*BN7</f>
        <v>1781760.5678249998</v>
      </c>
      <c r="AI7" s="511">
        <f>IF(AR7="In-Service",'Maintenace Cost Assumptions'!B$5*('Sealed Roads'!BK7+'Sealed Roads'!BL7+'Sealed Roads'!BM7),0)</f>
        <v>6445.2</v>
      </c>
      <c r="AJ7" s="318">
        <v>4</v>
      </c>
      <c r="AK7" s="318">
        <v>4</v>
      </c>
      <c r="AL7" s="318">
        <v>3</v>
      </c>
      <c r="AM7" s="318">
        <v>3</v>
      </c>
      <c r="AN7" s="318">
        <v>3</v>
      </c>
      <c r="AO7" s="318">
        <v>3</v>
      </c>
      <c r="AP7" s="332">
        <f>(AJ7*'Condition rating weights'!H$15+AK7*'Condition rating weights'!I$15+AL7*'Condition rating weights'!J$15+AM7*'Condition rating weights'!K$15+AN7*'Condition rating weights'!L$15+AO7*'Condition rating weights'!R$15)/100</f>
        <v>0.65</v>
      </c>
      <c r="AQ7" s="453"/>
      <c r="AR7" s="454" t="s">
        <v>1431</v>
      </c>
      <c r="AZ7" s="589" t="s">
        <v>811</v>
      </c>
      <c r="BA7" s="589"/>
      <c r="BB7" s="589"/>
      <c r="BC7" s="589"/>
      <c r="BD7" s="589"/>
      <c r="BE7" s="589"/>
      <c r="BF7" s="589"/>
      <c r="BH7" s="91" t="str">
        <f t="shared" si="0"/>
        <v>SRDT-003</v>
      </c>
      <c r="BI7" s="340">
        <f t="shared" si="1"/>
        <v>354240</v>
      </c>
      <c r="BJ7" s="340">
        <f t="shared" si="2"/>
        <v>194832</v>
      </c>
      <c r="BK7" s="340">
        <f t="shared" si="3"/>
        <v>398520</v>
      </c>
      <c r="BL7" s="340">
        <f t="shared" si="4"/>
        <v>246000</v>
      </c>
      <c r="BM7" s="340">
        <f t="shared" si="5"/>
        <v>0</v>
      </c>
      <c r="BN7" s="341">
        <f t="shared" si="13"/>
        <v>1193592</v>
      </c>
      <c r="BO7" s="341">
        <f>(HLOOKUP($X7,'Inflation Adjustments'!$M$3:$BT$4,2,TRUE))*BI7</f>
        <v>58021.421281721508</v>
      </c>
      <c r="BP7" s="341">
        <f>(HLOOKUP($X7,'Inflation Adjustments'!$M$3:$BT$4,2,TRUE))*BJ7</f>
        <v>31911.781704946829</v>
      </c>
      <c r="BQ7" s="341">
        <f>(HLOOKUP($X7,'Inflation Adjustments'!$M$3:$BT$4,2,TRUE))*BK7</f>
        <v>65274.098941936696</v>
      </c>
      <c r="BR7" s="341">
        <f>(HLOOKUP($X7,'Inflation Adjustments'!$M$3:$BT$4,2,TRUE))*BL7</f>
        <v>40292.653667862156</v>
      </c>
      <c r="BS7" s="341">
        <f>(HLOOKUP($X7,'Inflation Adjustments'!$M$3:$BT$4,2,TRUE))*BM7</f>
        <v>0</v>
      </c>
      <c r="BT7" s="341">
        <f t="shared" si="14"/>
        <v>195499.95559646716</v>
      </c>
      <c r="BU7" s="448">
        <f t="shared" si="6"/>
        <v>49</v>
      </c>
      <c r="BV7" s="93" t="s">
        <v>179</v>
      </c>
      <c r="BW7" s="448">
        <f t="shared" si="7"/>
        <v>75</v>
      </c>
      <c r="BX7" s="448">
        <f t="shared" si="8"/>
        <v>25</v>
      </c>
      <c r="BY7" s="448">
        <f t="shared" si="9"/>
        <v>50</v>
      </c>
      <c r="BZ7" s="93">
        <v>60</v>
      </c>
      <c r="CA7" s="449">
        <v>0</v>
      </c>
      <c r="CB7" s="340">
        <f t="shared" si="15"/>
        <v>425.49042273262438</v>
      </c>
      <c r="CC7" s="340">
        <f t="shared" si="16"/>
        <v>2610.963957677468</v>
      </c>
      <c r="CD7" s="340">
        <f t="shared" si="17"/>
        <v>805.85307335724315</v>
      </c>
      <c r="CE7" s="340">
        <f t="shared" si="18"/>
        <v>0</v>
      </c>
      <c r="CF7" s="340"/>
      <c r="CG7" s="449">
        <v>0</v>
      </c>
      <c r="CH7" s="340">
        <f t="shared" si="19"/>
        <v>20849.030713898595</v>
      </c>
      <c r="CI7" s="340">
        <f t="shared" si="20"/>
        <v>65274.098941936696</v>
      </c>
      <c r="CJ7" s="340">
        <f t="shared" si="21"/>
        <v>39486.800594504915</v>
      </c>
      <c r="CK7" s="340">
        <f t="shared" si="22"/>
        <v>0</v>
      </c>
      <c r="CL7" s="341">
        <f t="shared" si="23"/>
        <v>125609.9302503402</v>
      </c>
      <c r="CM7" s="449">
        <v>0</v>
      </c>
      <c r="CN7" s="340">
        <f t="shared" si="24"/>
        <v>425.49042273262438</v>
      </c>
      <c r="CO7" s="340">
        <f t="shared" si="25"/>
        <v>0</v>
      </c>
      <c r="CP7" s="340">
        <f t="shared" si="26"/>
        <v>805.85307335724065</v>
      </c>
      <c r="CQ7" s="340">
        <f t="shared" si="27"/>
        <v>0</v>
      </c>
      <c r="CR7" s="341">
        <f t="shared" si="28"/>
        <v>1231.3434960898651</v>
      </c>
      <c r="CS7" s="449">
        <v>0</v>
      </c>
      <c r="CT7" s="449">
        <v>0</v>
      </c>
      <c r="CU7" s="341">
        <f>(HLOOKUP($Z7,'Inflation Adjustments'!$M$3:$BT$4,2,TRUE))*BK7</f>
        <v>137522.68156954885</v>
      </c>
      <c r="CV7" s="449">
        <v>0</v>
      </c>
      <c r="CW7" s="449">
        <v>0</v>
      </c>
      <c r="CX7" s="341">
        <f t="shared" si="29"/>
        <v>137522.68156954885</v>
      </c>
      <c r="CY7" s="450">
        <v>0</v>
      </c>
      <c r="CZ7" s="450">
        <v>0</v>
      </c>
      <c r="DA7" s="340">
        <f t="shared" si="30"/>
        <v>5500.9072627819542</v>
      </c>
      <c r="DB7" s="450">
        <v>0</v>
      </c>
      <c r="DC7" s="450">
        <v>0</v>
      </c>
      <c r="DD7" s="341">
        <f t="shared" si="31"/>
        <v>5500.9072627819542</v>
      </c>
      <c r="DE7" s="91">
        <f t="shared" si="10"/>
        <v>31</v>
      </c>
      <c r="DF7" s="450">
        <v>0</v>
      </c>
      <c r="DG7" s="450">
        <v>0</v>
      </c>
      <c r="DH7" s="340">
        <f t="shared" si="11"/>
        <v>137522.68156954885</v>
      </c>
      <c r="DI7" s="450">
        <v>0</v>
      </c>
      <c r="DJ7" s="450">
        <v>0</v>
      </c>
      <c r="DK7" s="341">
        <f t="shared" si="32"/>
        <v>137522.68156954885</v>
      </c>
      <c r="DL7" s="450">
        <v>0</v>
      </c>
      <c r="DM7" s="450">
        <v>0</v>
      </c>
      <c r="DN7" s="449">
        <f t="shared" si="33"/>
        <v>0</v>
      </c>
      <c r="DO7" s="449">
        <v>0</v>
      </c>
      <c r="DP7" s="449">
        <v>0</v>
      </c>
      <c r="DQ7" s="450">
        <f t="shared" si="34"/>
        <v>0</v>
      </c>
    </row>
    <row r="8" spans="1:121" ht="30" customHeight="1" x14ac:dyDescent="0.3">
      <c r="A8" s="330" t="s">
        <v>1291</v>
      </c>
      <c r="B8" s="451" t="s">
        <v>717</v>
      </c>
      <c r="C8" s="318" t="s">
        <v>1255</v>
      </c>
      <c r="D8" s="318" t="s">
        <v>124</v>
      </c>
      <c r="E8" s="318" t="s">
        <v>718</v>
      </c>
      <c r="F8" s="318" t="s">
        <v>211</v>
      </c>
      <c r="G8" s="318" t="s">
        <v>722</v>
      </c>
      <c r="H8" s="318" t="str">
        <f t="shared" si="12"/>
        <v>S   00.52445</v>
      </c>
      <c r="I8" s="318" t="str">
        <f t="shared" si="12"/>
        <v>E 166.95547</v>
      </c>
      <c r="J8" s="318" t="s">
        <v>741</v>
      </c>
      <c r="K8" s="318" t="s">
        <v>742</v>
      </c>
      <c r="L8" s="318" t="s">
        <v>12</v>
      </c>
      <c r="M8" s="318" t="s">
        <v>11</v>
      </c>
      <c r="N8" s="318" t="s">
        <v>817</v>
      </c>
      <c r="O8" s="318" t="s">
        <v>814</v>
      </c>
      <c r="P8" s="318">
        <v>2</v>
      </c>
      <c r="Q8" s="318" t="s">
        <v>194</v>
      </c>
      <c r="R8" s="333">
        <v>2380</v>
      </c>
      <c r="S8" s="318" t="s">
        <v>194</v>
      </c>
      <c r="T8" s="318">
        <v>7.2</v>
      </c>
      <c r="U8" s="318">
        <v>60</v>
      </c>
      <c r="V8" s="318">
        <v>1973</v>
      </c>
      <c r="W8" s="318" t="s">
        <v>982</v>
      </c>
      <c r="X8" s="318">
        <f t="shared" si="35"/>
        <v>1973</v>
      </c>
      <c r="Y8" s="318" t="str">
        <f t="shared" si="36"/>
        <v>Actual</v>
      </c>
      <c r="Z8" s="318">
        <v>1992</v>
      </c>
      <c r="AA8" s="318" t="s">
        <v>801</v>
      </c>
      <c r="AB8" s="452">
        <f t="shared" si="37"/>
        <v>650936.91641356959</v>
      </c>
      <c r="AC8" s="318" t="s">
        <v>800</v>
      </c>
      <c r="AD8" s="511">
        <f t="shared" si="38"/>
        <v>514501.42240955564</v>
      </c>
      <c r="AE8" s="516">
        <f t="shared" si="39"/>
        <v>136435.49400401395</v>
      </c>
      <c r="AF8" s="511">
        <f t="shared" si="40"/>
        <v>2491.7937937019719</v>
      </c>
      <c r="AG8" s="516">
        <f t="shared" si="41"/>
        <v>133943.70021031197</v>
      </c>
      <c r="AH8" s="511">
        <f>HLOOKUP($C$1,'Inflation Adjustments'!$BI$3:$BT$4,2)*BN8</f>
        <v>3507345.1444499996</v>
      </c>
      <c r="AI8" s="511">
        <f>IF(AR8="In-Service",'Maintenace Cost Assumptions'!B$5*('Sealed Roads'!BK8+'Sealed Roads'!BL8+'Sealed Roads'!BM8),0)</f>
        <v>12871.2</v>
      </c>
      <c r="AJ8" s="318">
        <v>4</v>
      </c>
      <c r="AK8" s="318">
        <v>4</v>
      </c>
      <c r="AL8" s="318">
        <v>3</v>
      </c>
      <c r="AM8" s="318">
        <v>3</v>
      </c>
      <c r="AN8" s="318">
        <v>2</v>
      </c>
      <c r="AO8" s="331">
        <v>3</v>
      </c>
      <c r="AP8" s="332">
        <f>(AJ8*'Condition rating weights'!H$15+AK8*'Condition rating weights'!I$15+AL8*'Condition rating weights'!J$15+AM8*'Condition rating weights'!K$15+AN8*'Condition rating weights'!L$15+AO8*'Condition rating weights'!R$15)/100</f>
        <v>0.63</v>
      </c>
      <c r="AQ8" s="455"/>
      <c r="AR8" s="454" t="s">
        <v>1431</v>
      </c>
      <c r="AZ8" s="447" t="str">
        <f>'AR-Hierarchy '!$J114</f>
        <v>Light Duty</v>
      </c>
      <c r="BA8" s="447" t="str">
        <f>'AR-Hierarchy '!$J113</f>
        <v>Standard</v>
      </c>
      <c r="BB8" s="360" t="str">
        <f>'AR-Hierarchy '!$J112</f>
        <v>Heavy Duty</v>
      </c>
      <c r="BD8" s="447" t="str">
        <f>'AR-Hierarchy '!$J114</f>
        <v>Light Duty</v>
      </c>
      <c r="BE8" s="447" t="str">
        <f>'AR-Hierarchy '!$J113</f>
        <v>Standard</v>
      </c>
      <c r="BF8" s="360" t="str">
        <f>'AR-Hierarchy '!$J112</f>
        <v>Heavy Duty</v>
      </c>
      <c r="BH8" s="91" t="str">
        <f t="shared" si="0"/>
        <v>SRDT-004</v>
      </c>
      <c r="BI8" s="340">
        <f t="shared" si="1"/>
        <v>685440</v>
      </c>
      <c r="BJ8" s="340">
        <f t="shared" si="2"/>
        <v>376992</v>
      </c>
      <c r="BK8" s="340">
        <f t="shared" si="3"/>
        <v>771120</v>
      </c>
      <c r="BL8" s="340">
        <f t="shared" si="4"/>
        <v>476000</v>
      </c>
      <c r="BM8" s="340">
        <f t="shared" si="5"/>
        <v>40000</v>
      </c>
      <c r="BN8" s="341">
        <f t="shared" si="13"/>
        <v>2349552</v>
      </c>
      <c r="BO8" s="341">
        <f>(HLOOKUP($X8,'Inflation Adjustments'!$M$3:$BT$4,2,TRUE))*BI8</f>
        <v>112269.09158577007</v>
      </c>
      <c r="BP8" s="341">
        <f>(HLOOKUP($X8,'Inflation Adjustments'!$M$3:$BT$4,2,TRUE))*BJ8</f>
        <v>61748.000372173541</v>
      </c>
      <c r="BQ8" s="341">
        <f>(HLOOKUP($X8,'Inflation Adjustments'!$M$3:$BT$4,2,TRUE))*BK8</f>
        <v>126302.72803399134</v>
      </c>
      <c r="BR8" s="341">
        <f>(HLOOKUP($X8,'Inflation Adjustments'!$M$3:$BT$4,2,TRUE))*BL8</f>
        <v>77964.646934562552</v>
      </c>
      <c r="BS8" s="341">
        <f>(HLOOKUP($X8,'Inflation Adjustments'!$M$3:$BT$4,2,TRUE))*BM8</f>
        <v>6551.6510029044166</v>
      </c>
      <c r="BT8" s="341">
        <f t="shared" si="14"/>
        <v>384836.11792940192</v>
      </c>
      <c r="BU8" s="448">
        <f t="shared" si="6"/>
        <v>49</v>
      </c>
      <c r="BV8" s="93" t="s">
        <v>179</v>
      </c>
      <c r="BW8" s="448">
        <f t="shared" si="7"/>
        <v>75</v>
      </c>
      <c r="BX8" s="448">
        <f t="shared" si="8"/>
        <v>25</v>
      </c>
      <c r="BY8" s="448">
        <f t="shared" si="9"/>
        <v>50</v>
      </c>
      <c r="BZ8" s="93">
        <v>60</v>
      </c>
      <c r="CA8" s="449">
        <v>0</v>
      </c>
      <c r="CB8" s="340">
        <f t="shared" si="15"/>
        <v>823.30667162898055</v>
      </c>
      <c r="CC8" s="340">
        <f t="shared" si="16"/>
        <v>5052.1091213596537</v>
      </c>
      <c r="CD8" s="340">
        <f t="shared" si="17"/>
        <v>1559.292938691251</v>
      </c>
      <c r="CE8" s="340">
        <f t="shared" si="18"/>
        <v>109.19418338174027</v>
      </c>
      <c r="CF8" s="340"/>
      <c r="CG8" s="449">
        <v>0</v>
      </c>
      <c r="CH8" s="340">
        <f t="shared" si="19"/>
        <v>40342.026909820044</v>
      </c>
      <c r="CI8" s="340">
        <f t="shared" si="20"/>
        <v>126302.72803399134</v>
      </c>
      <c r="CJ8" s="340">
        <f t="shared" si="21"/>
        <v>76405.353995871294</v>
      </c>
      <c r="CK8" s="340">
        <f t="shared" si="22"/>
        <v>5350.5149857052738</v>
      </c>
      <c r="CL8" s="341">
        <f t="shared" si="23"/>
        <v>248400.62392538795</v>
      </c>
      <c r="CM8" s="449">
        <v>0</v>
      </c>
      <c r="CN8" s="340">
        <f t="shared" si="24"/>
        <v>823.30667162898055</v>
      </c>
      <c r="CO8" s="340">
        <f t="shared" si="25"/>
        <v>0</v>
      </c>
      <c r="CP8" s="340">
        <f t="shared" si="26"/>
        <v>1559.292938691251</v>
      </c>
      <c r="CQ8" s="340">
        <f t="shared" si="27"/>
        <v>109.19418338174027</v>
      </c>
      <c r="CR8" s="341">
        <f t="shared" si="28"/>
        <v>2491.7937937019719</v>
      </c>
      <c r="CS8" s="449">
        <v>0</v>
      </c>
      <c r="CT8" s="449">
        <v>0</v>
      </c>
      <c r="CU8" s="341">
        <f>(HLOOKUP($Z8,'Inflation Adjustments'!$M$3:$BT$4,2,TRUE))*BK8</f>
        <v>266100.79848416767</v>
      </c>
      <c r="CV8" s="449">
        <v>0</v>
      </c>
      <c r="CW8" s="449">
        <v>0</v>
      </c>
      <c r="CX8" s="341">
        <f t="shared" si="29"/>
        <v>266100.79848416767</v>
      </c>
      <c r="CY8" s="450">
        <v>0</v>
      </c>
      <c r="CZ8" s="450">
        <v>0</v>
      </c>
      <c r="DA8" s="340">
        <f t="shared" si="30"/>
        <v>10644.031939366707</v>
      </c>
      <c r="DB8" s="450">
        <v>0</v>
      </c>
      <c r="DC8" s="450">
        <v>0</v>
      </c>
      <c r="DD8" s="341">
        <f t="shared" si="31"/>
        <v>10644.031939366707</v>
      </c>
      <c r="DE8" s="91">
        <f t="shared" si="10"/>
        <v>31</v>
      </c>
      <c r="DF8" s="450">
        <v>0</v>
      </c>
      <c r="DG8" s="450">
        <v>0</v>
      </c>
      <c r="DH8" s="340">
        <f t="shared" si="11"/>
        <v>266100.79848416767</v>
      </c>
      <c r="DI8" s="450">
        <v>0</v>
      </c>
      <c r="DJ8" s="450">
        <v>0</v>
      </c>
      <c r="DK8" s="341">
        <f t="shared" si="32"/>
        <v>266100.79848416767</v>
      </c>
      <c r="DL8" s="450">
        <v>0</v>
      </c>
      <c r="DM8" s="450">
        <v>0</v>
      </c>
      <c r="DN8" s="449">
        <f t="shared" si="33"/>
        <v>0</v>
      </c>
      <c r="DO8" s="449">
        <v>0</v>
      </c>
      <c r="DP8" s="449">
        <v>0</v>
      </c>
      <c r="DQ8" s="450">
        <f t="shared" si="34"/>
        <v>0</v>
      </c>
    </row>
    <row r="9" spans="1:121" ht="30" customHeight="1" x14ac:dyDescent="0.3">
      <c r="A9" s="330" t="s">
        <v>1292</v>
      </c>
      <c r="B9" s="451" t="s">
        <v>717</v>
      </c>
      <c r="C9" s="318" t="s">
        <v>1255</v>
      </c>
      <c r="D9" s="318" t="s">
        <v>124</v>
      </c>
      <c r="E9" s="318" t="s">
        <v>718</v>
      </c>
      <c r="F9" s="318" t="s">
        <v>211</v>
      </c>
      <c r="G9" s="318" t="s">
        <v>723</v>
      </c>
      <c r="H9" s="318" t="str">
        <f t="shared" si="12"/>
        <v>S   00.54141</v>
      </c>
      <c r="I9" s="318" t="str">
        <f t="shared" si="12"/>
        <v>E 166.94867</v>
      </c>
      <c r="J9" s="318" t="s">
        <v>743</v>
      </c>
      <c r="K9" s="318" t="s">
        <v>744</v>
      </c>
      <c r="L9" s="318" t="s">
        <v>12</v>
      </c>
      <c r="M9" s="318" t="s">
        <v>11</v>
      </c>
      <c r="N9" s="318" t="s">
        <v>817</v>
      </c>
      <c r="O9" s="318" t="s">
        <v>814</v>
      </c>
      <c r="P9" s="318">
        <v>10</v>
      </c>
      <c r="Q9" s="318" t="s">
        <v>194</v>
      </c>
      <c r="R9" s="333">
        <v>2880</v>
      </c>
      <c r="S9" s="318" t="s">
        <v>194</v>
      </c>
      <c r="T9" s="318">
        <v>7.2</v>
      </c>
      <c r="U9" s="318">
        <v>60</v>
      </c>
      <c r="V9" s="318">
        <v>1973</v>
      </c>
      <c r="W9" s="318" t="s">
        <v>982</v>
      </c>
      <c r="X9" s="318">
        <f t="shared" si="35"/>
        <v>1973</v>
      </c>
      <c r="Y9" s="318" t="str">
        <f t="shared" si="36"/>
        <v>Actual</v>
      </c>
      <c r="Z9" s="318">
        <v>1992</v>
      </c>
      <c r="AA9" s="318" t="s">
        <v>801</v>
      </c>
      <c r="AB9" s="452">
        <f t="shared" si="37"/>
        <v>812518.57618373027</v>
      </c>
      <c r="AC9" s="318" t="s">
        <v>800</v>
      </c>
      <c r="AD9" s="511">
        <f t="shared" si="38"/>
        <v>642867.95870192512</v>
      </c>
      <c r="AE9" s="516">
        <f t="shared" si="39"/>
        <v>169650.61748180515</v>
      </c>
      <c r="AF9" s="511">
        <f t="shared" si="40"/>
        <v>3429.1166638508225</v>
      </c>
      <c r="AG9" s="516">
        <f t="shared" si="41"/>
        <v>166221.50081795434</v>
      </c>
      <c r="AH9" s="511">
        <f>HLOOKUP($C$1,'Inflation Adjustments'!$BI$3:$BT$4,2)*BN9</f>
        <v>4470481.5581999999</v>
      </c>
      <c r="AI9" s="511">
        <f>IF(AR9="In-Service",'Maintenace Cost Assumptions'!B$5*('Sealed Roads'!BK9+'Sealed Roads'!BL9+'Sealed Roads'!BM9),0)</f>
        <v>17091.2</v>
      </c>
      <c r="AJ9" s="318">
        <v>4</v>
      </c>
      <c r="AK9" s="318">
        <v>4</v>
      </c>
      <c r="AL9" s="318">
        <v>3</v>
      </c>
      <c r="AM9" s="318">
        <v>3</v>
      </c>
      <c r="AN9" s="318">
        <v>1</v>
      </c>
      <c r="AO9" s="318">
        <v>3</v>
      </c>
      <c r="AP9" s="332">
        <f>(AJ9*'Condition rating weights'!H$15+AK9*'Condition rating weights'!I$15+AL9*'Condition rating weights'!J$15+AM9*'Condition rating weights'!K$15+AN9*'Condition rating weights'!L$15+AO9*'Condition rating weights'!R$15)/100</f>
        <v>0.61</v>
      </c>
      <c r="AQ9" s="453"/>
      <c r="AR9" s="454" t="s">
        <v>1431</v>
      </c>
      <c r="AZ9" s="91">
        <f>'GRC and TUL Assumptions'!C28</f>
        <v>18</v>
      </c>
      <c r="BA9" s="91">
        <f>'GRC and TUL Assumptions'!D28</f>
        <v>22</v>
      </c>
      <c r="BB9" s="91">
        <f>'GRC and TUL Assumptions'!E28</f>
        <v>26</v>
      </c>
      <c r="BD9" s="447">
        <f>'GRC and TUL Assumptions'!F28</f>
        <v>50</v>
      </c>
      <c r="BE9" s="447">
        <f>'GRC and TUL Assumptions'!G28</f>
        <v>75</v>
      </c>
      <c r="BF9" s="447">
        <f>'GRC and TUL Assumptions'!H28</f>
        <v>100</v>
      </c>
      <c r="BH9" s="91" t="str">
        <f t="shared" si="0"/>
        <v>SRDT-005</v>
      </c>
      <c r="BI9" s="340">
        <f t="shared" si="1"/>
        <v>829440</v>
      </c>
      <c r="BJ9" s="340">
        <f t="shared" si="2"/>
        <v>456192</v>
      </c>
      <c r="BK9" s="340">
        <f t="shared" si="3"/>
        <v>933120</v>
      </c>
      <c r="BL9" s="340">
        <f t="shared" si="4"/>
        <v>576000</v>
      </c>
      <c r="BM9" s="340">
        <f t="shared" si="5"/>
        <v>200000</v>
      </c>
      <c r="BN9" s="341">
        <f t="shared" si="13"/>
        <v>2994752</v>
      </c>
      <c r="BO9" s="341">
        <f>(HLOOKUP($X9,'Inflation Adjustments'!$M$3:$BT$4,2,TRUE))*BI9</f>
        <v>135855.03519622597</v>
      </c>
      <c r="BP9" s="341">
        <f>(HLOOKUP($X9,'Inflation Adjustments'!$M$3:$BT$4,2,TRUE))*BJ9</f>
        <v>74720.269357924291</v>
      </c>
      <c r="BQ9" s="341">
        <f>(HLOOKUP($X9,'Inflation Adjustments'!$M$3:$BT$4,2,TRUE))*BK9</f>
        <v>152836.91459575421</v>
      </c>
      <c r="BR9" s="341">
        <f>(HLOOKUP($X9,'Inflation Adjustments'!$M$3:$BT$4,2,TRUE))*BL9</f>
        <v>94343.774441823596</v>
      </c>
      <c r="BS9" s="341">
        <f>(HLOOKUP($X9,'Inflation Adjustments'!$M$3:$BT$4,2,TRUE))*BM9</f>
        <v>32758.255014522081</v>
      </c>
      <c r="BT9" s="341">
        <f t="shared" si="14"/>
        <v>490514.2486062501</v>
      </c>
      <c r="BU9" s="448">
        <f t="shared" si="6"/>
        <v>49</v>
      </c>
      <c r="BV9" s="93" t="s">
        <v>179</v>
      </c>
      <c r="BW9" s="448">
        <f t="shared" si="7"/>
        <v>75</v>
      </c>
      <c r="BX9" s="448">
        <f t="shared" si="8"/>
        <v>25</v>
      </c>
      <c r="BY9" s="448">
        <f t="shared" si="9"/>
        <v>50</v>
      </c>
      <c r="BZ9" s="93">
        <v>60</v>
      </c>
      <c r="CA9" s="449">
        <v>0</v>
      </c>
      <c r="CB9" s="340">
        <f t="shared" si="15"/>
        <v>996.27025810565726</v>
      </c>
      <c r="CC9" s="340">
        <f t="shared" si="16"/>
        <v>6113.4765838301682</v>
      </c>
      <c r="CD9" s="340">
        <f t="shared" si="17"/>
        <v>1886.875488836472</v>
      </c>
      <c r="CE9" s="340">
        <f t="shared" si="18"/>
        <v>545.97091690870138</v>
      </c>
      <c r="CF9" s="340"/>
      <c r="CG9" s="449">
        <v>0</v>
      </c>
      <c r="CH9" s="340">
        <f t="shared" si="19"/>
        <v>48817.242647177205</v>
      </c>
      <c r="CI9" s="340">
        <f t="shared" si="20"/>
        <v>152836.91459575421</v>
      </c>
      <c r="CJ9" s="340">
        <f t="shared" si="21"/>
        <v>92456.898952987132</v>
      </c>
      <c r="CK9" s="340">
        <f t="shared" si="22"/>
        <v>26752.574928526366</v>
      </c>
      <c r="CL9" s="341">
        <f t="shared" si="23"/>
        <v>320863.63112444495</v>
      </c>
      <c r="CM9" s="449">
        <v>0</v>
      </c>
      <c r="CN9" s="340">
        <f t="shared" si="24"/>
        <v>996.27025810565726</v>
      </c>
      <c r="CO9" s="340">
        <f t="shared" si="25"/>
        <v>0</v>
      </c>
      <c r="CP9" s="340">
        <f t="shared" si="26"/>
        <v>1886.8754888364638</v>
      </c>
      <c r="CQ9" s="340">
        <f t="shared" si="27"/>
        <v>545.97091690870138</v>
      </c>
      <c r="CR9" s="341">
        <f t="shared" si="28"/>
        <v>3429.1166638508225</v>
      </c>
      <c r="CS9" s="449">
        <v>0</v>
      </c>
      <c r="CT9" s="449">
        <v>0</v>
      </c>
      <c r="CU9" s="341">
        <f>(HLOOKUP($Z9,'Inflation Adjustments'!$M$3:$BT$4,2,TRUE))*BK9</f>
        <v>322004.32757748023</v>
      </c>
      <c r="CV9" s="449">
        <v>0</v>
      </c>
      <c r="CW9" s="449">
        <v>0</v>
      </c>
      <c r="CX9" s="341">
        <f t="shared" si="29"/>
        <v>322004.32757748023</v>
      </c>
      <c r="CY9" s="450">
        <v>0</v>
      </c>
      <c r="CZ9" s="450">
        <v>0</v>
      </c>
      <c r="DA9" s="340">
        <f t="shared" si="30"/>
        <v>12880.173103099209</v>
      </c>
      <c r="DB9" s="450">
        <v>0</v>
      </c>
      <c r="DC9" s="450">
        <v>0</v>
      </c>
      <c r="DD9" s="341">
        <f t="shared" si="31"/>
        <v>12880.173103099209</v>
      </c>
      <c r="DE9" s="91">
        <f t="shared" si="10"/>
        <v>31</v>
      </c>
      <c r="DF9" s="450">
        <v>0</v>
      </c>
      <c r="DG9" s="450">
        <v>0</v>
      </c>
      <c r="DH9" s="340">
        <f t="shared" si="11"/>
        <v>322004.32757748023</v>
      </c>
      <c r="DI9" s="450">
        <v>0</v>
      </c>
      <c r="DJ9" s="450">
        <v>0</v>
      </c>
      <c r="DK9" s="341">
        <f t="shared" si="32"/>
        <v>322004.32757748023</v>
      </c>
      <c r="DL9" s="450">
        <v>0</v>
      </c>
      <c r="DM9" s="450">
        <v>0</v>
      </c>
      <c r="DN9" s="449">
        <f t="shared" si="33"/>
        <v>0</v>
      </c>
      <c r="DO9" s="449">
        <v>0</v>
      </c>
      <c r="DP9" s="449">
        <v>0</v>
      </c>
      <c r="DQ9" s="450">
        <f t="shared" si="34"/>
        <v>0</v>
      </c>
    </row>
    <row r="10" spans="1:121" ht="30" customHeight="1" thickBot="1" x14ac:dyDescent="0.35">
      <c r="A10" s="330" t="s">
        <v>1293</v>
      </c>
      <c r="B10" s="451" t="s">
        <v>717</v>
      </c>
      <c r="C10" s="318" t="s">
        <v>1255</v>
      </c>
      <c r="D10" s="318" t="s">
        <v>124</v>
      </c>
      <c r="E10" s="318" t="s">
        <v>718</v>
      </c>
      <c r="F10" s="318" t="s">
        <v>211</v>
      </c>
      <c r="G10" s="318" t="s">
        <v>724</v>
      </c>
      <c r="H10" s="318" t="str">
        <f t="shared" si="12"/>
        <v>S   00.55247</v>
      </c>
      <c r="I10" s="318" t="str">
        <f t="shared" si="12"/>
        <v>E 166.92877</v>
      </c>
      <c r="J10" s="318" t="s">
        <v>745</v>
      </c>
      <c r="K10" s="318" t="s">
        <v>746</v>
      </c>
      <c r="L10" s="318" t="s">
        <v>12</v>
      </c>
      <c r="M10" s="318" t="s">
        <v>11</v>
      </c>
      <c r="N10" s="318" t="s">
        <v>817</v>
      </c>
      <c r="O10" s="318" t="s">
        <v>814</v>
      </c>
      <c r="P10" s="318">
        <v>6</v>
      </c>
      <c r="Q10" s="318" t="s">
        <v>194</v>
      </c>
      <c r="R10" s="333">
        <v>1890</v>
      </c>
      <c r="S10" s="318" t="s">
        <v>194</v>
      </c>
      <c r="T10" s="318">
        <v>7.2</v>
      </c>
      <c r="U10" s="318">
        <v>60</v>
      </c>
      <c r="V10" s="318">
        <v>1973</v>
      </c>
      <c r="W10" s="318" t="s">
        <v>982</v>
      </c>
      <c r="X10" s="318">
        <f t="shared" si="35"/>
        <v>1973</v>
      </c>
      <c r="Y10" s="318" t="str">
        <f t="shared" si="36"/>
        <v>Actual</v>
      </c>
      <c r="Z10" s="318">
        <v>1992</v>
      </c>
      <c r="AA10" s="318" t="s">
        <v>801</v>
      </c>
      <c r="AB10" s="452">
        <f t="shared" si="37"/>
        <v>531372.6637760062</v>
      </c>
      <c r="AC10" s="318" t="s">
        <v>800</v>
      </c>
      <c r="AD10" s="511">
        <f t="shared" si="38"/>
        <v>420377.26555840875</v>
      </c>
      <c r="AE10" s="516">
        <f t="shared" si="39"/>
        <v>110995.39821759745</v>
      </c>
      <c r="AF10" s="511">
        <f t="shared" si="40"/>
        <v>2219.6469465759869</v>
      </c>
      <c r="AG10" s="516">
        <f t="shared" si="41"/>
        <v>108775.75127102147</v>
      </c>
      <c r="AH10" s="511">
        <f>HLOOKUP($C$1,'Inflation Adjustments'!$BI$3:$BT$4,2)*BN10</f>
        <v>2916959.8389749997</v>
      </c>
      <c r="AI10" s="511">
        <f>IF(AR10="In-Service",'Maintenace Cost Assumptions'!B$5*('Sealed Roads'!BK10+'Sealed Roads'!BL10+'Sealed Roads'!BM10),0)</f>
        <v>11103.6</v>
      </c>
      <c r="AJ10" s="318">
        <v>4</v>
      </c>
      <c r="AK10" s="318">
        <v>4</v>
      </c>
      <c r="AL10" s="318">
        <v>3</v>
      </c>
      <c r="AM10" s="318">
        <v>3</v>
      </c>
      <c r="AN10" s="318">
        <v>1</v>
      </c>
      <c r="AO10" s="318">
        <v>3</v>
      </c>
      <c r="AP10" s="332">
        <f>(AJ10*'Condition rating weights'!H$15+AK10*'Condition rating weights'!I$15+AL10*'Condition rating weights'!J$15+AM10*'Condition rating weights'!K$15+AN10*'Condition rating weights'!L$15+AO10*'Condition rating weights'!R$15)/100</f>
        <v>0.61</v>
      </c>
      <c r="AQ10" s="453"/>
      <c r="AR10" s="454" t="s">
        <v>1431</v>
      </c>
      <c r="AZ10" s="589" t="s">
        <v>812</v>
      </c>
      <c r="BA10" s="589"/>
      <c r="BB10" s="589"/>
      <c r="BC10" s="589"/>
      <c r="BD10" s="589"/>
      <c r="BE10" s="589"/>
      <c r="BF10" s="589"/>
      <c r="BH10" s="91" t="str">
        <f t="shared" si="0"/>
        <v>SRDT-006</v>
      </c>
      <c r="BI10" s="340">
        <f t="shared" si="1"/>
        <v>544320</v>
      </c>
      <c r="BJ10" s="340">
        <f t="shared" si="2"/>
        <v>299376</v>
      </c>
      <c r="BK10" s="340">
        <f t="shared" si="3"/>
        <v>612360</v>
      </c>
      <c r="BL10" s="340">
        <f t="shared" si="4"/>
        <v>378000</v>
      </c>
      <c r="BM10" s="340">
        <f t="shared" si="5"/>
        <v>120000</v>
      </c>
      <c r="BN10" s="341">
        <f t="shared" si="13"/>
        <v>1954056</v>
      </c>
      <c r="BO10" s="341">
        <f>(HLOOKUP($X10,'Inflation Adjustments'!$M$3:$BT$4,2,TRUE))*BI10</f>
        <v>89154.866847523299</v>
      </c>
      <c r="BP10" s="341">
        <f>(HLOOKUP($X10,'Inflation Adjustments'!$M$3:$BT$4,2,TRUE))*BJ10</f>
        <v>49035.176766137811</v>
      </c>
      <c r="BQ10" s="341">
        <f>(HLOOKUP($X10,'Inflation Adjustments'!$M$3:$BT$4,2,TRUE))*BK10</f>
        <v>100299.22520346371</v>
      </c>
      <c r="BR10" s="341">
        <f>(HLOOKUP($X10,'Inflation Adjustments'!$M$3:$BT$4,2,TRUE))*BL10</f>
        <v>61913.101977446735</v>
      </c>
      <c r="BS10" s="341">
        <f>(HLOOKUP($X10,'Inflation Adjustments'!$M$3:$BT$4,2,TRUE))*BM10</f>
        <v>19654.953008713248</v>
      </c>
      <c r="BT10" s="341">
        <f t="shared" si="14"/>
        <v>320057.32380328485</v>
      </c>
      <c r="BU10" s="448">
        <f t="shared" si="6"/>
        <v>49</v>
      </c>
      <c r="BV10" s="93" t="s">
        <v>179</v>
      </c>
      <c r="BW10" s="448">
        <f t="shared" si="7"/>
        <v>75</v>
      </c>
      <c r="BX10" s="448">
        <f t="shared" si="8"/>
        <v>25</v>
      </c>
      <c r="BY10" s="448">
        <f t="shared" si="9"/>
        <v>50</v>
      </c>
      <c r="BZ10" s="93">
        <v>60</v>
      </c>
      <c r="CA10" s="449">
        <v>0</v>
      </c>
      <c r="CB10" s="340">
        <f t="shared" si="15"/>
        <v>653.80235688183757</v>
      </c>
      <c r="CC10" s="340">
        <f t="shared" si="16"/>
        <v>4011.9690081385484</v>
      </c>
      <c r="CD10" s="340">
        <f t="shared" si="17"/>
        <v>1238.2620395489348</v>
      </c>
      <c r="CE10" s="340">
        <f t="shared" si="18"/>
        <v>327.58255014522081</v>
      </c>
      <c r="CF10" s="340"/>
      <c r="CG10" s="449">
        <v>0</v>
      </c>
      <c r="CH10" s="340">
        <f t="shared" si="19"/>
        <v>32036.315487210042</v>
      </c>
      <c r="CI10" s="340">
        <f t="shared" si="20"/>
        <v>100299.22520346371</v>
      </c>
      <c r="CJ10" s="340">
        <f t="shared" si="21"/>
        <v>60674.839937897807</v>
      </c>
      <c r="CK10" s="340">
        <f t="shared" si="22"/>
        <v>16051.544957115819</v>
      </c>
      <c r="CL10" s="341">
        <f t="shared" si="23"/>
        <v>209061.92558568736</v>
      </c>
      <c r="CM10" s="449">
        <v>0</v>
      </c>
      <c r="CN10" s="340">
        <f t="shared" si="24"/>
        <v>653.80235688183757</v>
      </c>
      <c r="CO10" s="340">
        <f t="shared" si="25"/>
        <v>0</v>
      </c>
      <c r="CP10" s="340">
        <f t="shared" si="26"/>
        <v>1238.2620395489284</v>
      </c>
      <c r="CQ10" s="340">
        <f t="shared" si="27"/>
        <v>327.58255014522081</v>
      </c>
      <c r="CR10" s="341">
        <f t="shared" si="28"/>
        <v>2219.6469465759869</v>
      </c>
      <c r="CS10" s="449">
        <v>0</v>
      </c>
      <c r="CT10" s="449">
        <v>0</v>
      </c>
      <c r="CU10" s="341">
        <f>(HLOOKUP($Z10,'Inflation Adjustments'!$M$3:$BT$4,2,TRUE))*BK10</f>
        <v>211315.33997272138</v>
      </c>
      <c r="CV10" s="449">
        <v>0</v>
      </c>
      <c r="CW10" s="449">
        <v>0</v>
      </c>
      <c r="CX10" s="341">
        <f t="shared" si="29"/>
        <v>211315.33997272138</v>
      </c>
      <c r="CY10" s="450">
        <v>0</v>
      </c>
      <c r="CZ10" s="450">
        <v>0</v>
      </c>
      <c r="DA10" s="340">
        <f t="shared" si="30"/>
        <v>8452.6135989088561</v>
      </c>
      <c r="DB10" s="450">
        <v>0</v>
      </c>
      <c r="DC10" s="450">
        <v>0</v>
      </c>
      <c r="DD10" s="341">
        <f t="shared" si="31"/>
        <v>8452.6135989088561</v>
      </c>
      <c r="DE10" s="91">
        <f t="shared" si="10"/>
        <v>31</v>
      </c>
      <c r="DF10" s="450">
        <v>0</v>
      </c>
      <c r="DG10" s="450">
        <v>0</v>
      </c>
      <c r="DH10" s="340">
        <f t="shared" si="11"/>
        <v>211315.33997272138</v>
      </c>
      <c r="DI10" s="450">
        <v>0</v>
      </c>
      <c r="DJ10" s="450">
        <v>0</v>
      </c>
      <c r="DK10" s="341">
        <f t="shared" si="32"/>
        <v>211315.33997272138</v>
      </c>
      <c r="DL10" s="450">
        <v>0</v>
      </c>
      <c r="DM10" s="450">
        <v>0</v>
      </c>
      <c r="DN10" s="449">
        <f t="shared" si="33"/>
        <v>0</v>
      </c>
      <c r="DO10" s="449">
        <v>0</v>
      </c>
      <c r="DP10" s="449">
        <v>0</v>
      </c>
      <c r="DQ10" s="450">
        <f t="shared" si="34"/>
        <v>0</v>
      </c>
    </row>
    <row r="11" spans="1:121" ht="30" customHeight="1" thickTop="1" x14ac:dyDescent="0.3">
      <c r="A11" s="330" t="s">
        <v>1294</v>
      </c>
      <c r="B11" s="451" t="s">
        <v>717</v>
      </c>
      <c r="C11" s="318" t="s">
        <v>1255</v>
      </c>
      <c r="D11" s="318" t="s">
        <v>124</v>
      </c>
      <c r="E11" s="318" t="s">
        <v>718</v>
      </c>
      <c r="F11" s="318" t="s">
        <v>211</v>
      </c>
      <c r="G11" s="318" t="s">
        <v>725</v>
      </c>
      <c r="H11" s="318" t="str">
        <f t="shared" si="12"/>
        <v>S   00.54494</v>
      </c>
      <c r="I11" s="318" t="str">
        <f t="shared" si="12"/>
        <v>E 166.91483</v>
      </c>
      <c r="J11" s="318" t="s">
        <v>747</v>
      </c>
      <c r="K11" s="318" t="s">
        <v>748</v>
      </c>
      <c r="L11" s="318" t="s">
        <v>12</v>
      </c>
      <c r="M11" s="318" t="s">
        <v>11</v>
      </c>
      <c r="N11" s="318" t="s">
        <v>817</v>
      </c>
      <c r="O11" s="318" t="s">
        <v>814</v>
      </c>
      <c r="P11" s="318">
        <v>1</v>
      </c>
      <c r="Q11" s="318" t="s">
        <v>194</v>
      </c>
      <c r="R11" s="333">
        <v>610</v>
      </c>
      <c r="S11" s="318" t="s">
        <v>194</v>
      </c>
      <c r="T11" s="318">
        <v>7.2</v>
      </c>
      <c r="U11" s="318">
        <v>60</v>
      </c>
      <c r="V11" s="318">
        <v>1973</v>
      </c>
      <c r="W11" s="318" t="s">
        <v>982</v>
      </c>
      <c r="X11" s="318">
        <f t="shared" si="35"/>
        <v>1973</v>
      </c>
      <c r="Y11" s="318" t="str">
        <f t="shared" si="36"/>
        <v>Actual</v>
      </c>
      <c r="Z11" s="318">
        <v>1992</v>
      </c>
      <c r="AA11" s="318" t="s">
        <v>801</v>
      </c>
      <c r="AB11" s="452">
        <f t="shared" si="37"/>
        <v>168433.3935268748</v>
      </c>
      <c r="AC11" s="318" t="s">
        <v>800</v>
      </c>
      <c r="AD11" s="511">
        <f t="shared" si="38"/>
        <v>133171.91863930167</v>
      </c>
      <c r="AE11" s="516">
        <f t="shared" si="39"/>
        <v>35261.474887573131</v>
      </c>
      <c r="AF11" s="511">
        <f t="shared" si="40"/>
        <v>665.26337836958487</v>
      </c>
      <c r="AG11" s="516">
        <f t="shared" si="41"/>
        <v>34596.211509203546</v>
      </c>
      <c r="AH11" s="511">
        <f>HLOOKUP($C$1,'Inflation Adjustments'!$BI$3:$BT$4,2)*BN11</f>
        <v>913492.7922749999</v>
      </c>
      <c r="AI11" s="511">
        <f>IF(AR11="In-Service",'Maintenace Cost Assumptions'!B$5*('Sealed Roads'!BK11+'Sealed Roads'!BL11+'Sealed Roads'!BM11),0)</f>
        <v>3396.4</v>
      </c>
      <c r="AJ11" s="318">
        <v>4</v>
      </c>
      <c r="AK11" s="318">
        <v>4</v>
      </c>
      <c r="AL11" s="318">
        <v>3</v>
      </c>
      <c r="AM11" s="318">
        <v>3</v>
      </c>
      <c r="AN11" s="318">
        <v>2</v>
      </c>
      <c r="AO11" s="318">
        <v>3</v>
      </c>
      <c r="AP11" s="319">
        <f>(AJ11*'Condition rating weights'!H$15+AK11*'Condition rating weights'!I$15+AL11*'Condition rating weights'!J$15+AM11*'Condition rating weights'!K$15+AN11*'Condition rating weights'!L$15+AO11*'Condition rating weights'!R$15)/100</f>
        <v>0.63</v>
      </c>
      <c r="AQ11" s="453"/>
      <c r="AR11" s="454" t="s">
        <v>1431</v>
      </c>
      <c r="AZ11" s="447" t="str">
        <f>'GRC and TUL Assumptions'!C30</f>
        <v>Inferior</v>
      </c>
      <c r="BA11" s="447" t="str">
        <f>'GRC and TUL Assumptions'!D30</f>
        <v>Standard</v>
      </c>
      <c r="BB11" s="447" t="str">
        <f>'GRC and TUL Assumptions'!E30</f>
        <v>Superior</v>
      </c>
      <c r="BD11" s="447" t="str">
        <f>'GRC and TUL Assumptions'!F30</f>
        <v>Inferior</v>
      </c>
      <c r="BE11" s="447" t="str">
        <f>'GRC and TUL Assumptions'!G30</f>
        <v>Standard</v>
      </c>
      <c r="BF11" s="447" t="str">
        <f>'GRC and TUL Assumptions'!H30</f>
        <v>Superior</v>
      </c>
      <c r="BH11" s="91" t="str">
        <f t="shared" si="0"/>
        <v>SRDT-007</v>
      </c>
      <c r="BI11" s="340">
        <f t="shared" si="1"/>
        <v>175680</v>
      </c>
      <c r="BJ11" s="340">
        <f t="shared" si="2"/>
        <v>96624</v>
      </c>
      <c r="BK11" s="340">
        <f t="shared" si="3"/>
        <v>197640</v>
      </c>
      <c r="BL11" s="340">
        <f t="shared" si="4"/>
        <v>122000</v>
      </c>
      <c r="BM11" s="340">
        <f t="shared" si="5"/>
        <v>20000</v>
      </c>
      <c r="BN11" s="341">
        <f t="shared" si="13"/>
        <v>611944</v>
      </c>
      <c r="BO11" s="341">
        <f>(HLOOKUP($X11,'Inflation Adjustments'!$M$3:$BT$4,2,TRUE))*BI11</f>
        <v>28774.851204756196</v>
      </c>
      <c r="BP11" s="341">
        <f>(HLOOKUP($X11,'Inflation Adjustments'!$M$3:$BT$4,2,TRUE))*BJ11</f>
        <v>15826.168162615908</v>
      </c>
      <c r="BQ11" s="341">
        <f>(HLOOKUP($X11,'Inflation Adjustments'!$M$3:$BT$4,2,TRUE))*BK11</f>
        <v>32371.707605350719</v>
      </c>
      <c r="BR11" s="341">
        <f>(HLOOKUP($X11,'Inflation Adjustments'!$M$3:$BT$4,2,TRUE))*BL11</f>
        <v>19982.535558858468</v>
      </c>
      <c r="BS11" s="341">
        <f>(HLOOKUP($X11,'Inflation Adjustments'!$M$3:$BT$4,2,TRUE))*BM11</f>
        <v>3275.8255014522083</v>
      </c>
      <c r="BT11" s="341">
        <f t="shared" si="14"/>
        <v>100231.08803303351</v>
      </c>
      <c r="BU11" s="448">
        <f t="shared" si="6"/>
        <v>49</v>
      </c>
      <c r="BV11" s="93" t="s">
        <v>179</v>
      </c>
      <c r="BW11" s="448">
        <f t="shared" si="7"/>
        <v>75</v>
      </c>
      <c r="BX11" s="448">
        <f t="shared" si="8"/>
        <v>25</v>
      </c>
      <c r="BY11" s="448">
        <f t="shared" si="9"/>
        <v>50</v>
      </c>
      <c r="BZ11" s="93">
        <v>60</v>
      </c>
      <c r="CA11" s="449">
        <v>0</v>
      </c>
      <c r="CB11" s="340">
        <f t="shared" si="15"/>
        <v>211.01557550154544</v>
      </c>
      <c r="CC11" s="340">
        <f t="shared" si="16"/>
        <v>1294.8683042140287</v>
      </c>
      <c r="CD11" s="340">
        <f t="shared" si="17"/>
        <v>399.65071117716934</v>
      </c>
      <c r="CE11" s="340">
        <f t="shared" si="18"/>
        <v>54.597091690870137</v>
      </c>
      <c r="CF11" s="340"/>
      <c r="CG11" s="449">
        <v>0</v>
      </c>
      <c r="CH11" s="340">
        <f t="shared" si="19"/>
        <v>10339.763199575727</v>
      </c>
      <c r="CI11" s="340">
        <f t="shared" si="20"/>
        <v>32371.707605350719</v>
      </c>
      <c r="CJ11" s="340">
        <f t="shared" si="21"/>
        <v>19582.884847681296</v>
      </c>
      <c r="CK11" s="340">
        <f t="shared" si="22"/>
        <v>2675.2574928526369</v>
      </c>
      <c r="CL11" s="341">
        <f t="shared" si="23"/>
        <v>64969.613145460382</v>
      </c>
      <c r="CM11" s="449">
        <v>0</v>
      </c>
      <c r="CN11" s="340">
        <f t="shared" si="24"/>
        <v>211.01557550154544</v>
      </c>
      <c r="CO11" s="340">
        <f t="shared" si="25"/>
        <v>0</v>
      </c>
      <c r="CP11" s="340">
        <f t="shared" si="26"/>
        <v>399.65071117716934</v>
      </c>
      <c r="CQ11" s="340">
        <f t="shared" si="27"/>
        <v>54.597091690870137</v>
      </c>
      <c r="CR11" s="341">
        <f t="shared" si="28"/>
        <v>665.26337836958487</v>
      </c>
      <c r="CS11" s="449">
        <v>0</v>
      </c>
      <c r="CT11" s="449">
        <v>0</v>
      </c>
      <c r="CU11" s="341">
        <f>(HLOOKUP($Z11,'Inflation Adjustments'!$M$3:$BT$4,2,TRUE))*BK11</f>
        <v>68202.305493841297</v>
      </c>
      <c r="CV11" s="449">
        <v>0</v>
      </c>
      <c r="CW11" s="449">
        <v>0</v>
      </c>
      <c r="CX11" s="341">
        <f t="shared" si="29"/>
        <v>68202.305493841297</v>
      </c>
      <c r="CY11" s="450">
        <v>0</v>
      </c>
      <c r="CZ11" s="450">
        <v>0</v>
      </c>
      <c r="DA11" s="340">
        <f t="shared" si="30"/>
        <v>2728.092219753652</v>
      </c>
      <c r="DB11" s="450">
        <v>0</v>
      </c>
      <c r="DC11" s="450">
        <v>0</v>
      </c>
      <c r="DD11" s="341">
        <f t="shared" si="31"/>
        <v>2728.092219753652</v>
      </c>
      <c r="DE11" s="91">
        <f t="shared" si="10"/>
        <v>31</v>
      </c>
      <c r="DF11" s="450">
        <v>0</v>
      </c>
      <c r="DG11" s="450">
        <v>0</v>
      </c>
      <c r="DH11" s="340">
        <f t="shared" si="11"/>
        <v>68202.305493841297</v>
      </c>
      <c r="DI11" s="450">
        <v>0</v>
      </c>
      <c r="DJ11" s="450">
        <v>0</v>
      </c>
      <c r="DK11" s="341">
        <f t="shared" si="32"/>
        <v>68202.305493841297</v>
      </c>
      <c r="DL11" s="450">
        <v>0</v>
      </c>
      <c r="DM11" s="450">
        <v>0</v>
      </c>
      <c r="DN11" s="449">
        <f t="shared" si="33"/>
        <v>0</v>
      </c>
      <c r="DO11" s="449">
        <v>0</v>
      </c>
      <c r="DP11" s="449">
        <v>0</v>
      </c>
      <c r="DQ11" s="450">
        <f t="shared" si="34"/>
        <v>0</v>
      </c>
    </row>
    <row r="12" spans="1:121" ht="30" customHeight="1" x14ac:dyDescent="0.3">
      <c r="A12" s="330" t="s">
        <v>1295</v>
      </c>
      <c r="B12" s="451" t="s">
        <v>717</v>
      </c>
      <c r="C12" s="318" t="s">
        <v>1255</v>
      </c>
      <c r="D12" s="318" t="s">
        <v>124</v>
      </c>
      <c r="E12" s="318" t="s">
        <v>718</v>
      </c>
      <c r="F12" s="318" t="s">
        <v>211</v>
      </c>
      <c r="G12" s="318" t="s">
        <v>726</v>
      </c>
      <c r="H12" s="318" t="str">
        <f t="shared" si="12"/>
        <v>S   00.53991</v>
      </c>
      <c r="I12" s="318" t="str">
        <f t="shared" si="12"/>
        <v>E 166.91185</v>
      </c>
      <c r="J12" s="318" t="s">
        <v>749</v>
      </c>
      <c r="K12" s="318" t="s">
        <v>750</v>
      </c>
      <c r="L12" s="318" t="s">
        <v>12</v>
      </c>
      <c r="M12" s="318" t="s">
        <v>11</v>
      </c>
      <c r="N12" s="318" t="s">
        <v>817</v>
      </c>
      <c r="O12" s="318" t="s">
        <v>814</v>
      </c>
      <c r="P12" s="318">
        <v>4</v>
      </c>
      <c r="Q12" s="318" t="s">
        <v>194</v>
      </c>
      <c r="R12" s="333">
        <v>1680</v>
      </c>
      <c r="S12" s="318" t="s">
        <v>194</v>
      </c>
      <c r="T12" s="318">
        <v>7.4</v>
      </c>
      <c r="U12" s="318">
        <v>60</v>
      </c>
      <c r="V12" s="318">
        <v>1973</v>
      </c>
      <c r="W12" s="318" t="s">
        <v>982</v>
      </c>
      <c r="X12" s="318">
        <f t="shared" si="35"/>
        <v>1973</v>
      </c>
      <c r="Y12" s="318" t="str">
        <f t="shared" si="36"/>
        <v>Actual</v>
      </c>
      <c r="Z12" s="318">
        <v>1992</v>
      </c>
      <c r="AA12" s="318" t="s">
        <v>801</v>
      </c>
      <c r="AB12" s="452">
        <f t="shared" si="37"/>
        <v>479069.7759913</v>
      </c>
      <c r="AC12" s="318" t="s">
        <v>800</v>
      </c>
      <c r="AD12" s="511">
        <f t="shared" si="38"/>
        <v>378586.87743585353</v>
      </c>
      <c r="AE12" s="516">
        <f t="shared" si="39"/>
        <v>100482.89855544647</v>
      </c>
      <c r="AF12" s="511">
        <f t="shared" si="40"/>
        <v>1916.3666538842076</v>
      </c>
      <c r="AG12" s="516">
        <f t="shared" si="41"/>
        <v>98566.531901562266</v>
      </c>
      <c r="AH12" s="511">
        <f>HLOOKUP($C$1,'Inflation Adjustments'!$BI$3:$BT$4,2)*BN12</f>
        <v>2606714.0746499998</v>
      </c>
      <c r="AI12" s="511">
        <f>IF(AR12="In-Service",'Maintenace Cost Assumptions'!B$5*('Sealed Roads'!BK12+'Sealed Roads'!BL12+'Sealed Roads'!BM12),0)</f>
        <v>9754.4</v>
      </c>
      <c r="AJ12" s="318">
        <v>4</v>
      </c>
      <c r="AK12" s="318">
        <v>4</v>
      </c>
      <c r="AL12" s="318">
        <v>3</v>
      </c>
      <c r="AM12" s="318">
        <v>3</v>
      </c>
      <c r="AN12" s="318">
        <v>1</v>
      </c>
      <c r="AO12" s="318">
        <v>3</v>
      </c>
      <c r="AP12" s="332">
        <f>(AJ12*'Condition rating weights'!H$15+AK12*'Condition rating weights'!I$15+AL12*'Condition rating weights'!J$15+AM12*'Condition rating weights'!K$15+AN12*'Condition rating weights'!L$15+AO12*'Condition rating weights'!R$15)/100</f>
        <v>0.61</v>
      </c>
      <c r="AQ12" s="453"/>
      <c r="AR12" s="454" t="s">
        <v>1431</v>
      </c>
      <c r="AZ12" s="91">
        <f>'GRC and TUL Assumptions'!C31</f>
        <v>20</v>
      </c>
      <c r="BA12" s="91">
        <f>'GRC and TUL Assumptions'!D31</f>
        <v>30</v>
      </c>
      <c r="BB12" s="91">
        <f>'GRC and TUL Assumptions'!E31</f>
        <v>45</v>
      </c>
      <c r="BD12" s="447">
        <f>'GRC and TUL Assumptions'!F31</f>
        <v>15</v>
      </c>
      <c r="BE12" s="447">
        <f>'GRC and TUL Assumptions'!G31</f>
        <v>20</v>
      </c>
      <c r="BF12" s="447">
        <f>'GRC and TUL Assumptions'!H31</f>
        <v>25</v>
      </c>
      <c r="BH12" s="91" t="str">
        <f t="shared" si="0"/>
        <v>SRDT-008</v>
      </c>
      <c r="BI12" s="340">
        <f t="shared" si="1"/>
        <v>497280</v>
      </c>
      <c r="BJ12" s="340">
        <f t="shared" si="2"/>
        <v>273504</v>
      </c>
      <c r="BK12" s="340">
        <f t="shared" si="3"/>
        <v>559440</v>
      </c>
      <c r="BL12" s="340">
        <f t="shared" si="4"/>
        <v>336000</v>
      </c>
      <c r="BM12" s="340">
        <f t="shared" si="5"/>
        <v>80000</v>
      </c>
      <c r="BN12" s="341">
        <f t="shared" si="13"/>
        <v>1746224</v>
      </c>
      <c r="BO12" s="341">
        <f>(HLOOKUP($X12,'Inflation Adjustments'!$M$3:$BT$4,2,TRUE))*BI12</f>
        <v>81450.125268107702</v>
      </c>
      <c r="BP12" s="341">
        <f>(HLOOKUP($X12,'Inflation Adjustments'!$M$3:$BT$4,2,TRUE))*BJ12</f>
        <v>44797.568897459234</v>
      </c>
      <c r="BQ12" s="341">
        <f>(HLOOKUP($X12,'Inflation Adjustments'!$M$3:$BT$4,2,TRUE))*BK12</f>
        <v>91631.39092662117</v>
      </c>
      <c r="BR12" s="341">
        <f>(HLOOKUP($X12,'Inflation Adjustments'!$M$3:$BT$4,2,TRUE))*BL12</f>
        <v>55033.868424397093</v>
      </c>
      <c r="BS12" s="341">
        <f>(HLOOKUP($X12,'Inflation Adjustments'!$M$3:$BT$4,2,TRUE))*BM12</f>
        <v>13103.302005808833</v>
      </c>
      <c r="BT12" s="341">
        <f t="shared" si="14"/>
        <v>286016.25552239403</v>
      </c>
      <c r="BU12" s="448">
        <f t="shared" si="6"/>
        <v>49</v>
      </c>
      <c r="BV12" s="93" t="s">
        <v>179</v>
      </c>
      <c r="BW12" s="448">
        <f t="shared" si="7"/>
        <v>75</v>
      </c>
      <c r="BX12" s="448">
        <f t="shared" si="8"/>
        <v>25</v>
      </c>
      <c r="BY12" s="448">
        <f t="shared" si="9"/>
        <v>50</v>
      </c>
      <c r="BZ12" s="93">
        <v>60</v>
      </c>
      <c r="CA12" s="449">
        <v>0</v>
      </c>
      <c r="CB12" s="340">
        <f t="shared" si="15"/>
        <v>597.30091863278983</v>
      </c>
      <c r="CC12" s="340">
        <f t="shared" si="16"/>
        <v>3665.2556370648467</v>
      </c>
      <c r="CD12" s="340">
        <f t="shared" si="17"/>
        <v>1100.677368487942</v>
      </c>
      <c r="CE12" s="340">
        <f t="shared" si="18"/>
        <v>218.38836676348055</v>
      </c>
      <c r="CF12" s="340"/>
      <c r="CG12" s="449">
        <v>0</v>
      </c>
      <c r="CH12" s="340">
        <f t="shared" si="19"/>
        <v>29267.745013006701</v>
      </c>
      <c r="CI12" s="340">
        <f t="shared" si="20"/>
        <v>91631.39092662117</v>
      </c>
      <c r="CJ12" s="340">
        <f t="shared" si="21"/>
        <v>53933.191055909156</v>
      </c>
      <c r="CK12" s="340">
        <f t="shared" si="22"/>
        <v>10701.029971410548</v>
      </c>
      <c r="CL12" s="341">
        <f t="shared" si="23"/>
        <v>185533.35696694758</v>
      </c>
      <c r="CM12" s="449">
        <v>0</v>
      </c>
      <c r="CN12" s="340">
        <f t="shared" si="24"/>
        <v>597.30091863278983</v>
      </c>
      <c r="CO12" s="340">
        <f t="shared" si="25"/>
        <v>0</v>
      </c>
      <c r="CP12" s="340">
        <f t="shared" si="26"/>
        <v>1100.6773684879372</v>
      </c>
      <c r="CQ12" s="340">
        <f t="shared" si="27"/>
        <v>218.38836676348055</v>
      </c>
      <c r="CR12" s="341">
        <f t="shared" si="28"/>
        <v>1916.3666538842076</v>
      </c>
      <c r="CS12" s="449">
        <v>0</v>
      </c>
      <c r="CT12" s="449">
        <v>0</v>
      </c>
      <c r="CU12" s="341">
        <f>(HLOOKUP($Z12,'Inflation Adjustments'!$M$3:$BT$4,2,TRUE))*BK12</f>
        <v>193053.52046890595</v>
      </c>
      <c r="CV12" s="449">
        <v>0</v>
      </c>
      <c r="CW12" s="449">
        <v>0</v>
      </c>
      <c r="CX12" s="341">
        <f t="shared" si="29"/>
        <v>193053.52046890595</v>
      </c>
      <c r="CY12" s="450">
        <v>0</v>
      </c>
      <c r="CZ12" s="450">
        <v>0</v>
      </c>
      <c r="DA12" s="340">
        <f t="shared" si="30"/>
        <v>7722.1408187562383</v>
      </c>
      <c r="DB12" s="450">
        <v>0</v>
      </c>
      <c r="DC12" s="450">
        <v>0</v>
      </c>
      <c r="DD12" s="341">
        <f t="shared" si="31"/>
        <v>7722.1408187562383</v>
      </c>
      <c r="DE12" s="91">
        <f t="shared" si="10"/>
        <v>31</v>
      </c>
      <c r="DF12" s="450">
        <v>0</v>
      </c>
      <c r="DG12" s="450">
        <v>0</v>
      </c>
      <c r="DH12" s="340">
        <f t="shared" si="11"/>
        <v>193053.52046890595</v>
      </c>
      <c r="DI12" s="450">
        <v>0</v>
      </c>
      <c r="DJ12" s="450">
        <v>0</v>
      </c>
      <c r="DK12" s="341">
        <f t="shared" si="32"/>
        <v>193053.52046890595</v>
      </c>
      <c r="DL12" s="450">
        <v>0</v>
      </c>
      <c r="DM12" s="450">
        <v>0</v>
      </c>
      <c r="DN12" s="449">
        <f t="shared" si="33"/>
        <v>0</v>
      </c>
      <c r="DO12" s="449">
        <v>0</v>
      </c>
      <c r="DP12" s="449">
        <v>0</v>
      </c>
      <c r="DQ12" s="450">
        <f t="shared" si="34"/>
        <v>0</v>
      </c>
    </row>
    <row r="13" spans="1:121" ht="30" customHeight="1" x14ac:dyDescent="0.3">
      <c r="A13" s="330" t="s">
        <v>1296</v>
      </c>
      <c r="B13" s="451" t="s">
        <v>717</v>
      </c>
      <c r="C13" s="318" t="s">
        <v>1255</v>
      </c>
      <c r="D13" s="318" t="s">
        <v>124</v>
      </c>
      <c r="E13" s="318" t="s">
        <v>718</v>
      </c>
      <c r="F13" s="318" t="s">
        <v>211</v>
      </c>
      <c r="G13" s="318" t="s">
        <v>727</v>
      </c>
      <c r="H13" s="318" t="str">
        <f t="shared" ref="H13:I17" si="42">J12</f>
        <v>S   00.52868</v>
      </c>
      <c r="I13" s="318" t="str">
        <f t="shared" si="42"/>
        <v>E 166.91283</v>
      </c>
      <c r="J13" s="318" t="s">
        <v>751</v>
      </c>
      <c r="K13" s="318" t="s">
        <v>752</v>
      </c>
      <c r="L13" s="318" t="s">
        <v>12</v>
      </c>
      <c r="M13" s="318" t="s">
        <v>11</v>
      </c>
      <c r="N13" s="318" t="s">
        <v>817</v>
      </c>
      <c r="O13" s="318" t="s">
        <v>814</v>
      </c>
      <c r="P13" s="318">
        <v>5</v>
      </c>
      <c r="Q13" s="318" t="s">
        <v>194</v>
      </c>
      <c r="R13" s="333">
        <v>1320</v>
      </c>
      <c r="S13" s="318" t="s">
        <v>194</v>
      </c>
      <c r="T13" s="318">
        <v>7.2</v>
      </c>
      <c r="U13" s="318">
        <v>60</v>
      </c>
      <c r="V13" s="318">
        <v>1973</v>
      </c>
      <c r="W13" s="318" t="s">
        <v>982</v>
      </c>
      <c r="X13" s="318">
        <f t="shared" si="35"/>
        <v>1973</v>
      </c>
      <c r="Y13" s="318" t="str">
        <f t="shared" si="36"/>
        <v>Actual</v>
      </c>
      <c r="Z13" s="318">
        <v>1992</v>
      </c>
      <c r="AA13" s="318" t="s">
        <v>801</v>
      </c>
      <c r="AB13" s="452">
        <f t="shared" si="37"/>
        <v>373769.27470981481</v>
      </c>
      <c r="AC13" s="318" t="s">
        <v>800</v>
      </c>
      <c r="AD13" s="511">
        <f t="shared" si="38"/>
        <v>295762.50502707093</v>
      </c>
      <c r="AE13" s="516">
        <f t="shared" si="39"/>
        <v>78006.769682743878</v>
      </c>
      <c r="AF13" s="511">
        <f t="shared" si="40"/>
        <v>1594.4272591361598</v>
      </c>
      <c r="AG13" s="516">
        <f t="shared" si="41"/>
        <v>76412.342423607712</v>
      </c>
      <c r="AH13" s="511">
        <f>HLOOKUP($C$1,'Inflation Adjustments'!$BI$3:$BT$4,2)*BN13</f>
        <v>2061410.4797999999</v>
      </c>
      <c r="AI13" s="511">
        <f>IF(AR13="In-Service",'Maintenace Cost Assumptions'!B$5*('Sealed Roads'!BK13+'Sealed Roads'!BL13+'Sealed Roads'!BM13),0)</f>
        <v>7916.8</v>
      </c>
      <c r="AJ13" s="318">
        <v>4</v>
      </c>
      <c r="AK13" s="318">
        <v>4</v>
      </c>
      <c r="AL13" s="318">
        <v>3</v>
      </c>
      <c r="AM13" s="318">
        <v>3</v>
      </c>
      <c r="AN13" s="318">
        <v>1</v>
      </c>
      <c r="AO13" s="318">
        <v>3</v>
      </c>
      <c r="AP13" s="332">
        <f>(AJ13*'Condition rating weights'!H$15+AK13*'Condition rating weights'!I$15+AL13*'Condition rating weights'!J$15+AM13*'Condition rating weights'!K$15+AN13*'Condition rating weights'!L$15+AO13*'Condition rating weights'!R$15)/100</f>
        <v>0.61</v>
      </c>
      <c r="AQ13" s="453"/>
      <c r="AR13" s="454" t="s">
        <v>1431</v>
      </c>
      <c r="AZ13" s="589" t="s">
        <v>813</v>
      </c>
      <c r="BA13" s="589"/>
      <c r="BB13" s="589"/>
      <c r="BC13" s="589"/>
      <c r="BD13" s="589"/>
      <c r="BE13" s="589"/>
      <c r="BF13" s="589"/>
      <c r="BH13" s="91" t="str">
        <f t="shared" si="0"/>
        <v>SRDT-009</v>
      </c>
      <c r="BI13" s="340">
        <f t="shared" si="1"/>
        <v>380160</v>
      </c>
      <c r="BJ13" s="340">
        <f t="shared" si="2"/>
        <v>209088</v>
      </c>
      <c r="BK13" s="340">
        <f t="shared" si="3"/>
        <v>427680</v>
      </c>
      <c r="BL13" s="340">
        <f t="shared" si="4"/>
        <v>264000</v>
      </c>
      <c r="BM13" s="340">
        <f t="shared" si="5"/>
        <v>100000</v>
      </c>
      <c r="BN13" s="341">
        <f t="shared" si="13"/>
        <v>1380928</v>
      </c>
      <c r="BO13" s="341">
        <f>(HLOOKUP($X13,'Inflation Adjustments'!$M$3:$BT$4,2,TRUE))*BI13</f>
        <v>62266.891131603574</v>
      </c>
      <c r="BP13" s="341">
        <f>(HLOOKUP($X13,'Inflation Adjustments'!$M$3:$BT$4,2,TRUE))*BJ13</f>
        <v>34246.790122381964</v>
      </c>
      <c r="BQ13" s="341">
        <f>(HLOOKUP($X13,'Inflation Adjustments'!$M$3:$BT$4,2,TRUE))*BK13</f>
        <v>70050.25252305402</v>
      </c>
      <c r="BR13" s="341">
        <f>(HLOOKUP($X13,'Inflation Adjustments'!$M$3:$BT$4,2,TRUE))*BL13</f>
        <v>43240.896619169143</v>
      </c>
      <c r="BS13" s="341">
        <f>(HLOOKUP($X13,'Inflation Adjustments'!$M$3:$BT$4,2,TRUE))*BM13</f>
        <v>16379.127507261041</v>
      </c>
      <c r="BT13" s="341">
        <f t="shared" si="14"/>
        <v>226183.95790346971</v>
      </c>
      <c r="BU13" s="448">
        <f t="shared" si="6"/>
        <v>49</v>
      </c>
      <c r="BV13" s="93" t="s">
        <v>179</v>
      </c>
      <c r="BW13" s="448">
        <f t="shared" si="7"/>
        <v>75</v>
      </c>
      <c r="BX13" s="448">
        <f t="shared" si="8"/>
        <v>25</v>
      </c>
      <c r="BY13" s="448">
        <f t="shared" si="9"/>
        <v>50</v>
      </c>
      <c r="BZ13" s="93">
        <v>60</v>
      </c>
      <c r="CA13" s="449">
        <v>0</v>
      </c>
      <c r="CB13" s="340">
        <f t="shared" si="15"/>
        <v>456.6238682984262</v>
      </c>
      <c r="CC13" s="340">
        <f t="shared" si="16"/>
        <v>2802.0101009221607</v>
      </c>
      <c r="CD13" s="340">
        <f t="shared" si="17"/>
        <v>864.81793238338287</v>
      </c>
      <c r="CE13" s="340">
        <f t="shared" si="18"/>
        <v>272.98545845435069</v>
      </c>
      <c r="CF13" s="340"/>
      <c r="CG13" s="449">
        <v>0</v>
      </c>
      <c r="CH13" s="340">
        <f t="shared" si="19"/>
        <v>22374.569546622883</v>
      </c>
      <c r="CI13" s="340">
        <f t="shared" si="20"/>
        <v>70050.25252305402</v>
      </c>
      <c r="CJ13" s="340">
        <f t="shared" si="21"/>
        <v>42376.078686785761</v>
      </c>
      <c r="CK13" s="340">
        <f t="shared" si="22"/>
        <v>13376.287464263183</v>
      </c>
      <c r="CL13" s="341">
        <f t="shared" si="23"/>
        <v>148177.18822072583</v>
      </c>
      <c r="CM13" s="449">
        <v>0</v>
      </c>
      <c r="CN13" s="340">
        <f t="shared" si="24"/>
        <v>456.6238682984262</v>
      </c>
      <c r="CO13" s="340">
        <f t="shared" si="25"/>
        <v>0</v>
      </c>
      <c r="CP13" s="340">
        <f t="shared" si="26"/>
        <v>864.81793238338287</v>
      </c>
      <c r="CQ13" s="340">
        <f t="shared" si="27"/>
        <v>272.98545845435069</v>
      </c>
      <c r="CR13" s="341">
        <f t="shared" si="28"/>
        <v>1594.4272591361598</v>
      </c>
      <c r="CS13" s="449">
        <v>0</v>
      </c>
      <c r="CT13" s="449">
        <v>0</v>
      </c>
      <c r="CU13" s="341">
        <f>(HLOOKUP($Z13,'Inflation Adjustments'!$M$3:$BT$4,2,TRUE))*BK13</f>
        <v>147585.3168063451</v>
      </c>
      <c r="CV13" s="449">
        <v>0</v>
      </c>
      <c r="CW13" s="449">
        <v>0</v>
      </c>
      <c r="CX13" s="341">
        <f t="shared" si="29"/>
        <v>147585.3168063451</v>
      </c>
      <c r="CY13" s="450">
        <v>0</v>
      </c>
      <c r="CZ13" s="450">
        <v>0</v>
      </c>
      <c r="DA13" s="340">
        <f t="shared" si="30"/>
        <v>5903.412672253804</v>
      </c>
      <c r="DB13" s="450">
        <v>0</v>
      </c>
      <c r="DC13" s="450">
        <v>0</v>
      </c>
      <c r="DD13" s="341">
        <f t="shared" si="31"/>
        <v>5903.412672253804</v>
      </c>
      <c r="DE13" s="91">
        <f t="shared" si="10"/>
        <v>31</v>
      </c>
      <c r="DF13" s="450">
        <v>0</v>
      </c>
      <c r="DG13" s="450">
        <v>0</v>
      </c>
      <c r="DH13" s="340">
        <f t="shared" si="11"/>
        <v>147585.3168063451</v>
      </c>
      <c r="DI13" s="450">
        <v>0</v>
      </c>
      <c r="DJ13" s="450">
        <v>0</v>
      </c>
      <c r="DK13" s="341">
        <f t="shared" si="32"/>
        <v>147585.3168063451</v>
      </c>
      <c r="DL13" s="450">
        <v>0</v>
      </c>
      <c r="DM13" s="450">
        <v>0</v>
      </c>
      <c r="DN13" s="449">
        <f t="shared" si="33"/>
        <v>0</v>
      </c>
      <c r="DO13" s="449">
        <v>0</v>
      </c>
      <c r="DP13" s="449">
        <v>0</v>
      </c>
      <c r="DQ13" s="450">
        <f t="shared" si="34"/>
        <v>0</v>
      </c>
    </row>
    <row r="14" spans="1:121" ht="30" customHeight="1" x14ac:dyDescent="0.3">
      <c r="A14" s="330" t="s">
        <v>1297</v>
      </c>
      <c r="B14" s="451" t="s">
        <v>717</v>
      </c>
      <c r="C14" s="318" t="s">
        <v>1255</v>
      </c>
      <c r="D14" s="318" t="s">
        <v>124</v>
      </c>
      <c r="E14" s="318" t="s">
        <v>718</v>
      </c>
      <c r="F14" s="318" t="s">
        <v>211</v>
      </c>
      <c r="G14" s="318" t="s">
        <v>728</v>
      </c>
      <c r="H14" s="318" t="str">
        <f t="shared" si="42"/>
        <v>S   00.51965</v>
      </c>
      <c r="I14" s="318" t="str">
        <f t="shared" si="42"/>
        <v>E 166.91806</v>
      </c>
      <c r="J14" s="318" t="s">
        <v>753</v>
      </c>
      <c r="K14" s="318" t="s">
        <v>754</v>
      </c>
      <c r="L14" s="318" t="s">
        <v>12</v>
      </c>
      <c r="M14" s="318" t="s">
        <v>11</v>
      </c>
      <c r="N14" s="318" t="s">
        <v>817</v>
      </c>
      <c r="O14" s="318" t="s">
        <v>814</v>
      </c>
      <c r="P14" s="318">
        <v>6</v>
      </c>
      <c r="Q14" s="318" t="s">
        <v>194</v>
      </c>
      <c r="R14" s="333">
        <v>990</v>
      </c>
      <c r="S14" s="318" t="s">
        <v>194</v>
      </c>
      <c r="T14" s="318">
        <v>7.2</v>
      </c>
      <c r="U14" s="318">
        <v>60</v>
      </c>
      <c r="V14" s="318">
        <v>1973</v>
      </c>
      <c r="W14" s="318" t="s">
        <v>982</v>
      </c>
      <c r="X14" s="318">
        <f t="shared" si="35"/>
        <v>1973</v>
      </c>
      <c r="Y14" s="318" t="str">
        <f t="shared" si="36"/>
        <v>Actual</v>
      </c>
      <c r="Z14" s="318">
        <v>1992</v>
      </c>
      <c r="AA14" s="318" t="s">
        <v>801</v>
      </c>
      <c r="AB14" s="452">
        <f t="shared" si="37"/>
        <v>287697.56341062859</v>
      </c>
      <c r="AC14" s="318" t="s">
        <v>800</v>
      </c>
      <c r="AD14" s="511">
        <f t="shared" si="38"/>
        <v>227841.20812922163</v>
      </c>
      <c r="AE14" s="516">
        <f t="shared" si="39"/>
        <v>59856.355281406955</v>
      </c>
      <c r="AF14" s="511">
        <f t="shared" si="40"/>
        <v>1318.6639006565758</v>
      </c>
      <c r="AG14" s="516">
        <f t="shared" si="41"/>
        <v>58537.691380750381</v>
      </c>
      <c r="AH14" s="511">
        <f>HLOOKUP($C$1,'Inflation Adjustments'!$BI$3:$BT$4,2)*BN14</f>
        <v>1613232.5942249999</v>
      </c>
      <c r="AI14" s="511">
        <f>IF(AR14="In-Service",'Maintenace Cost Assumptions'!B$5*('Sealed Roads'!BK14+'Sealed Roads'!BL14+'Sealed Roads'!BM14),0)</f>
        <v>6387.6</v>
      </c>
      <c r="AJ14" s="318">
        <v>4</v>
      </c>
      <c r="AK14" s="318">
        <v>4</v>
      </c>
      <c r="AL14" s="318">
        <v>3</v>
      </c>
      <c r="AM14" s="318">
        <v>3</v>
      </c>
      <c r="AN14" s="318">
        <v>2</v>
      </c>
      <c r="AO14" s="318">
        <v>3</v>
      </c>
      <c r="AP14" s="332">
        <f>(AJ14*'Condition rating weights'!H$15+AK14*'Condition rating weights'!I$15+AL14*'Condition rating weights'!J$15+AM14*'Condition rating weights'!K$15+AN14*'Condition rating weights'!L$15+AO14*'Condition rating weights'!R$15)/100</f>
        <v>0.63</v>
      </c>
      <c r="AQ14" s="453"/>
      <c r="AR14" s="454" t="s">
        <v>1431</v>
      </c>
      <c r="AZ14" s="91" t="str">
        <f>'GRC and TUL Assumptions'!C33</f>
        <v>None</v>
      </c>
      <c r="BA14" s="91" t="str">
        <f>'GRC and TUL Assumptions'!D33</f>
        <v>One Side</v>
      </c>
      <c r="BB14" s="91" t="str">
        <f>'GRC and TUL Assumptions'!E33</f>
        <v xml:space="preserve"> Both Side </v>
      </c>
      <c r="BD14" s="91" t="str">
        <f>'AR-Hierarchy '!J120</f>
        <v>None</v>
      </c>
      <c r="BE14" s="91" t="str">
        <f>'AR-Hierarchy '!J121</f>
        <v>One Side</v>
      </c>
      <c r="BF14" s="91" t="str">
        <f>'AR-Hierarchy '!J122</f>
        <v xml:space="preserve"> Both Side </v>
      </c>
      <c r="BH14" s="91" t="str">
        <f t="shared" si="0"/>
        <v>SRDT-010</v>
      </c>
      <c r="BI14" s="340">
        <f t="shared" si="1"/>
        <v>285120</v>
      </c>
      <c r="BJ14" s="340">
        <f t="shared" si="2"/>
        <v>156816</v>
      </c>
      <c r="BK14" s="340">
        <f t="shared" si="3"/>
        <v>320760</v>
      </c>
      <c r="BL14" s="340">
        <f t="shared" si="4"/>
        <v>198000</v>
      </c>
      <c r="BM14" s="340">
        <f t="shared" si="5"/>
        <v>120000</v>
      </c>
      <c r="BN14" s="341">
        <f t="shared" si="13"/>
        <v>1080696</v>
      </c>
      <c r="BO14" s="341">
        <f>(HLOOKUP($X14,'Inflation Adjustments'!$M$3:$BT$4,2,TRUE))*BI14</f>
        <v>46700.168348702675</v>
      </c>
      <c r="BP14" s="341">
        <f>(HLOOKUP($X14,'Inflation Adjustments'!$M$3:$BT$4,2,TRUE))*BJ14</f>
        <v>25685.092591786473</v>
      </c>
      <c r="BQ14" s="341">
        <f>(HLOOKUP($X14,'Inflation Adjustments'!$M$3:$BT$4,2,TRUE))*BK14</f>
        <v>52537.689392290515</v>
      </c>
      <c r="BR14" s="341">
        <f>(HLOOKUP($X14,'Inflation Adjustments'!$M$3:$BT$4,2,TRUE))*BL14</f>
        <v>32430.672464376861</v>
      </c>
      <c r="BS14" s="341">
        <f>(HLOOKUP($X14,'Inflation Adjustments'!$M$3:$BT$4,2,TRUE))*BM14</f>
        <v>19654.953008713248</v>
      </c>
      <c r="BT14" s="341">
        <f t="shared" si="14"/>
        <v>177008.5758058698</v>
      </c>
      <c r="BU14" s="448">
        <f t="shared" si="6"/>
        <v>49</v>
      </c>
      <c r="BV14" s="93" t="s">
        <v>179</v>
      </c>
      <c r="BW14" s="448">
        <f t="shared" si="7"/>
        <v>75</v>
      </c>
      <c r="BX14" s="448">
        <f t="shared" si="8"/>
        <v>25</v>
      </c>
      <c r="BY14" s="448">
        <f t="shared" si="9"/>
        <v>50</v>
      </c>
      <c r="BZ14" s="93">
        <v>60</v>
      </c>
      <c r="CA14" s="449">
        <v>0</v>
      </c>
      <c r="CB14" s="340">
        <f t="shared" si="15"/>
        <v>342.46790122381969</v>
      </c>
      <c r="CC14" s="340">
        <f t="shared" si="16"/>
        <v>2101.5075756916208</v>
      </c>
      <c r="CD14" s="340">
        <f t="shared" si="17"/>
        <v>648.61344928753726</v>
      </c>
      <c r="CE14" s="340">
        <f t="shared" si="18"/>
        <v>327.58255014522081</v>
      </c>
      <c r="CF14" s="340"/>
      <c r="CG14" s="449">
        <v>0</v>
      </c>
      <c r="CH14" s="340">
        <f t="shared" si="19"/>
        <v>16780.927159967167</v>
      </c>
      <c r="CI14" s="340">
        <f t="shared" si="20"/>
        <v>52537.689392290515</v>
      </c>
      <c r="CJ14" s="340">
        <f t="shared" si="21"/>
        <v>31782.059015089326</v>
      </c>
      <c r="CK14" s="340">
        <f t="shared" si="22"/>
        <v>16051.544957115819</v>
      </c>
      <c r="CL14" s="341">
        <f t="shared" si="23"/>
        <v>117152.22052446283</v>
      </c>
      <c r="CM14" s="449">
        <v>0</v>
      </c>
      <c r="CN14" s="340">
        <f t="shared" si="24"/>
        <v>342.46790122381969</v>
      </c>
      <c r="CO14" s="340">
        <f t="shared" si="25"/>
        <v>0</v>
      </c>
      <c r="CP14" s="340">
        <f t="shared" si="26"/>
        <v>648.61344928753533</v>
      </c>
      <c r="CQ14" s="340">
        <f t="shared" si="27"/>
        <v>327.58255014522081</v>
      </c>
      <c r="CR14" s="341">
        <f t="shared" si="28"/>
        <v>1318.6639006565758</v>
      </c>
      <c r="CS14" s="449">
        <v>0</v>
      </c>
      <c r="CT14" s="449">
        <v>0</v>
      </c>
      <c r="CU14" s="341">
        <f>(HLOOKUP($Z14,'Inflation Adjustments'!$M$3:$BT$4,2,TRUE))*BK14</f>
        <v>110688.98760475882</v>
      </c>
      <c r="CV14" s="449">
        <v>0</v>
      </c>
      <c r="CW14" s="449">
        <v>0</v>
      </c>
      <c r="CX14" s="341">
        <f t="shared" si="29"/>
        <v>110688.98760475882</v>
      </c>
      <c r="CY14" s="450">
        <v>0</v>
      </c>
      <c r="CZ14" s="450">
        <v>0</v>
      </c>
      <c r="DA14" s="340">
        <f t="shared" si="30"/>
        <v>4427.5595041903525</v>
      </c>
      <c r="DB14" s="450">
        <v>0</v>
      </c>
      <c r="DC14" s="450">
        <v>0</v>
      </c>
      <c r="DD14" s="341">
        <f t="shared" si="31"/>
        <v>4427.5595041903525</v>
      </c>
      <c r="DE14" s="91">
        <f t="shared" si="10"/>
        <v>31</v>
      </c>
      <c r="DF14" s="450">
        <v>0</v>
      </c>
      <c r="DG14" s="450">
        <v>0</v>
      </c>
      <c r="DH14" s="340">
        <f t="shared" si="11"/>
        <v>110688.98760475882</v>
      </c>
      <c r="DI14" s="450">
        <v>0</v>
      </c>
      <c r="DJ14" s="450">
        <v>0</v>
      </c>
      <c r="DK14" s="341">
        <f t="shared" si="32"/>
        <v>110688.98760475882</v>
      </c>
      <c r="DL14" s="450">
        <v>0</v>
      </c>
      <c r="DM14" s="450">
        <v>0</v>
      </c>
      <c r="DN14" s="449">
        <f t="shared" si="33"/>
        <v>0</v>
      </c>
      <c r="DO14" s="449">
        <v>0</v>
      </c>
      <c r="DP14" s="449">
        <v>0</v>
      </c>
      <c r="DQ14" s="450">
        <f t="shared" si="34"/>
        <v>0</v>
      </c>
    </row>
    <row r="15" spans="1:121" ht="30" customHeight="1" x14ac:dyDescent="0.3">
      <c r="A15" s="330" t="s">
        <v>1298</v>
      </c>
      <c r="B15" s="451" t="s">
        <v>717</v>
      </c>
      <c r="C15" s="318" t="s">
        <v>1255</v>
      </c>
      <c r="D15" s="318" t="s">
        <v>124</v>
      </c>
      <c r="E15" s="318" t="s">
        <v>718</v>
      </c>
      <c r="F15" s="318" t="s">
        <v>211</v>
      </c>
      <c r="G15" s="318" t="s">
        <v>729</v>
      </c>
      <c r="H15" s="318" t="str">
        <f t="shared" si="42"/>
        <v>S   00.51414</v>
      </c>
      <c r="I15" s="318" t="str">
        <f t="shared" si="42"/>
        <v>E 166.92389</v>
      </c>
      <c r="J15" s="318" t="s">
        <v>755</v>
      </c>
      <c r="K15" s="318" t="s">
        <v>756</v>
      </c>
      <c r="L15" s="318" t="s">
        <v>12</v>
      </c>
      <c r="M15" s="318" t="s">
        <v>11</v>
      </c>
      <c r="N15" s="318" t="s">
        <v>817</v>
      </c>
      <c r="O15" s="318" t="s">
        <v>814</v>
      </c>
      <c r="P15" s="318">
        <v>5</v>
      </c>
      <c r="Q15" s="318" t="s">
        <v>194</v>
      </c>
      <c r="R15" s="333">
        <v>470</v>
      </c>
      <c r="S15" s="318" t="s">
        <v>194</v>
      </c>
      <c r="T15" s="318">
        <v>7.2</v>
      </c>
      <c r="U15" s="318">
        <v>60</v>
      </c>
      <c r="V15" s="318">
        <v>1973</v>
      </c>
      <c r="W15" s="318" t="s">
        <v>982</v>
      </c>
      <c r="X15" s="318">
        <f t="shared" si="35"/>
        <v>1973</v>
      </c>
      <c r="Y15" s="318" t="str">
        <f t="shared" si="36"/>
        <v>Actual</v>
      </c>
      <c r="Z15" s="318">
        <v>1992</v>
      </c>
      <c r="AA15" s="318" t="s">
        <v>801</v>
      </c>
      <c r="AB15" s="452">
        <f t="shared" si="37"/>
        <v>143631.67992029156</v>
      </c>
      <c r="AC15" s="318" t="s">
        <v>800</v>
      </c>
      <c r="AD15" s="511">
        <f t="shared" si="38"/>
        <v>113922.89523283867</v>
      </c>
      <c r="AE15" s="516">
        <f t="shared" si="39"/>
        <v>29708.784687452891</v>
      </c>
      <c r="AF15" s="511">
        <f t="shared" si="40"/>
        <v>743.49882687893444</v>
      </c>
      <c r="AG15" s="516">
        <f t="shared" si="41"/>
        <v>28965.285860573957</v>
      </c>
      <c r="AH15" s="511">
        <f>HLOOKUP($C$1,'Inflation Adjustments'!$BI$3:$BT$4,2)*BN15</f>
        <v>830112.52642499993</v>
      </c>
      <c r="AI15" s="511">
        <f>IF(AR15="In-Service",'Maintenace Cost Assumptions'!B$5*('Sealed Roads'!BK15+'Sealed Roads'!BL15+'Sealed Roads'!BM15),0)</f>
        <v>3462.8</v>
      </c>
      <c r="AJ15" s="318">
        <v>4</v>
      </c>
      <c r="AK15" s="318">
        <v>4</v>
      </c>
      <c r="AL15" s="318">
        <v>3</v>
      </c>
      <c r="AM15" s="318">
        <v>3</v>
      </c>
      <c r="AN15" s="318">
        <v>3</v>
      </c>
      <c r="AO15" s="318">
        <v>3</v>
      </c>
      <c r="AP15" s="332">
        <f>(AJ15*'Condition rating weights'!H$15+AK15*'Condition rating weights'!I$15+AL15*'Condition rating weights'!J$15+AM15*'Condition rating weights'!K$15+AN15*'Condition rating weights'!L$15+AO15*'Condition rating weights'!R$15)/100</f>
        <v>0.65</v>
      </c>
      <c r="AQ15" s="453"/>
      <c r="AR15" s="454" t="s">
        <v>1431</v>
      </c>
      <c r="AZ15" s="91">
        <f>'GRC and TUL Assumptions'!C34</f>
        <v>0</v>
      </c>
      <c r="BA15" s="91">
        <f>'GRC and TUL Assumptions'!D34</f>
        <v>100</v>
      </c>
      <c r="BB15" s="290">
        <f>'GRC and TUL Assumptions'!E34</f>
        <v>200</v>
      </c>
      <c r="BD15" s="91" t="str">
        <f>'GRC and TUL Assumptions'!F34</f>
        <v>N/A</v>
      </c>
      <c r="BE15" s="91">
        <f>'GRC and TUL Assumptions'!G34</f>
        <v>50</v>
      </c>
      <c r="BF15" s="91">
        <f>'GRC and TUL Assumptions'!H34</f>
        <v>50</v>
      </c>
      <c r="BH15" s="91" t="str">
        <f t="shared" si="0"/>
        <v>SRDT-011</v>
      </c>
      <c r="BI15" s="340">
        <f t="shared" si="1"/>
        <v>135360</v>
      </c>
      <c r="BJ15" s="340">
        <f t="shared" si="2"/>
        <v>74448</v>
      </c>
      <c r="BK15" s="340">
        <f t="shared" si="3"/>
        <v>152280</v>
      </c>
      <c r="BL15" s="340">
        <f t="shared" si="4"/>
        <v>94000</v>
      </c>
      <c r="BM15" s="340">
        <f t="shared" si="5"/>
        <v>100000</v>
      </c>
      <c r="BN15" s="341">
        <f t="shared" si="13"/>
        <v>556088</v>
      </c>
      <c r="BO15" s="341">
        <f>(HLOOKUP($X15,'Inflation Adjustments'!$M$3:$BT$4,2,TRUE))*BI15</f>
        <v>22170.786993828544</v>
      </c>
      <c r="BP15" s="341">
        <f>(HLOOKUP($X15,'Inflation Adjustments'!$M$3:$BT$4,2,TRUE))*BJ15</f>
        <v>12193.9328466057</v>
      </c>
      <c r="BQ15" s="341">
        <f>(HLOOKUP($X15,'Inflation Adjustments'!$M$3:$BT$4,2,TRUE))*BK15</f>
        <v>24942.135368057112</v>
      </c>
      <c r="BR15" s="341">
        <f>(HLOOKUP($X15,'Inflation Adjustments'!$M$3:$BT$4,2,TRUE))*BL15</f>
        <v>15396.379856825379</v>
      </c>
      <c r="BS15" s="341">
        <f>(HLOOKUP($X15,'Inflation Adjustments'!$M$3:$BT$4,2,TRUE))*BM15</f>
        <v>16379.127507261041</v>
      </c>
      <c r="BT15" s="341">
        <f t="shared" si="14"/>
        <v>91082.362572577782</v>
      </c>
      <c r="BU15" s="448">
        <f t="shared" si="6"/>
        <v>49</v>
      </c>
      <c r="BV15" s="93" t="s">
        <v>179</v>
      </c>
      <c r="BW15" s="448">
        <f t="shared" si="7"/>
        <v>75</v>
      </c>
      <c r="BX15" s="448">
        <f t="shared" si="8"/>
        <v>25</v>
      </c>
      <c r="BY15" s="448">
        <f t="shared" si="9"/>
        <v>50</v>
      </c>
      <c r="BZ15" s="93">
        <v>60</v>
      </c>
      <c r="CA15" s="449">
        <v>0</v>
      </c>
      <c r="CB15" s="340">
        <f t="shared" si="15"/>
        <v>162.58577128807602</v>
      </c>
      <c r="CC15" s="340">
        <f t="shared" si="16"/>
        <v>997.68541472228446</v>
      </c>
      <c r="CD15" s="340">
        <f t="shared" si="17"/>
        <v>307.92759713650759</v>
      </c>
      <c r="CE15" s="340">
        <f t="shared" si="18"/>
        <v>272.98545845435069</v>
      </c>
      <c r="CF15" s="340"/>
      <c r="CG15" s="449">
        <v>0</v>
      </c>
      <c r="CH15" s="340">
        <f t="shared" si="19"/>
        <v>7966.7027931157245</v>
      </c>
      <c r="CI15" s="340">
        <f t="shared" si="20"/>
        <v>24942.135368057112</v>
      </c>
      <c r="CJ15" s="340">
        <f t="shared" si="21"/>
        <v>15088.452259688871</v>
      </c>
      <c r="CK15" s="340">
        <f t="shared" si="22"/>
        <v>13376.287464263183</v>
      </c>
      <c r="CL15" s="341">
        <f t="shared" si="23"/>
        <v>61373.577885124891</v>
      </c>
      <c r="CM15" s="449">
        <v>0</v>
      </c>
      <c r="CN15" s="340">
        <f t="shared" si="24"/>
        <v>162.58577128807602</v>
      </c>
      <c r="CO15" s="340">
        <f t="shared" si="25"/>
        <v>0</v>
      </c>
      <c r="CP15" s="340">
        <f t="shared" si="26"/>
        <v>307.92759713650776</v>
      </c>
      <c r="CQ15" s="340">
        <f t="shared" si="27"/>
        <v>272.98545845435069</v>
      </c>
      <c r="CR15" s="341">
        <f t="shared" si="28"/>
        <v>743.49882687893444</v>
      </c>
      <c r="CS15" s="449">
        <v>0</v>
      </c>
      <c r="CT15" s="449">
        <v>0</v>
      </c>
      <c r="CU15" s="341">
        <f>(HLOOKUP($Z15,'Inflation Adjustments'!$M$3:$BT$4,2,TRUE))*BK15</f>
        <v>52549.317347713783</v>
      </c>
      <c r="CV15" s="449">
        <v>0</v>
      </c>
      <c r="CW15" s="449">
        <v>0</v>
      </c>
      <c r="CX15" s="341">
        <f t="shared" si="29"/>
        <v>52549.317347713783</v>
      </c>
      <c r="CY15" s="450">
        <v>0</v>
      </c>
      <c r="CZ15" s="450">
        <v>0</v>
      </c>
      <c r="DA15" s="340">
        <f t="shared" si="30"/>
        <v>2101.9726939085513</v>
      </c>
      <c r="DB15" s="450">
        <v>0</v>
      </c>
      <c r="DC15" s="450">
        <v>0</v>
      </c>
      <c r="DD15" s="341">
        <f t="shared" si="31"/>
        <v>2101.9726939085513</v>
      </c>
      <c r="DE15" s="91">
        <f t="shared" si="10"/>
        <v>31</v>
      </c>
      <c r="DF15" s="450">
        <v>0</v>
      </c>
      <c r="DG15" s="450">
        <v>0</v>
      </c>
      <c r="DH15" s="340">
        <f t="shared" si="11"/>
        <v>52549.317347713783</v>
      </c>
      <c r="DI15" s="450">
        <v>0</v>
      </c>
      <c r="DJ15" s="450">
        <v>0</v>
      </c>
      <c r="DK15" s="341">
        <f t="shared" si="32"/>
        <v>52549.317347713783</v>
      </c>
      <c r="DL15" s="450">
        <v>0</v>
      </c>
      <c r="DM15" s="450">
        <v>0</v>
      </c>
      <c r="DN15" s="449">
        <f t="shared" si="33"/>
        <v>0</v>
      </c>
      <c r="DO15" s="449">
        <v>0</v>
      </c>
      <c r="DP15" s="449">
        <v>0</v>
      </c>
      <c r="DQ15" s="450">
        <f t="shared" si="34"/>
        <v>0</v>
      </c>
    </row>
    <row r="16" spans="1:121" ht="30" customHeight="1" x14ac:dyDescent="0.3">
      <c r="A16" s="330" t="s">
        <v>1299</v>
      </c>
      <c r="B16" s="451" t="s">
        <v>717</v>
      </c>
      <c r="C16" s="318" t="s">
        <v>1255</v>
      </c>
      <c r="D16" s="318" t="s">
        <v>124</v>
      </c>
      <c r="E16" s="318" t="s">
        <v>718</v>
      </c>
      <c r="F16" s="318" t="s">
        <v>211</v>
      </c>
      <c r="G16" s="318" t="s">
        <v>757</v>
      </c>
      <c r="H16" s="318" t="str">
        <f t="shared" si="42"/>
        <v>S   00.51336</v>
      </c>
      <c r="I16" s="318" t="str">
        <f t="shared" si="42"/>
        <v>E 166.92673</v>
      </c>
      <c r="J16" s="318" t="s">
        <v>758</v>
      </c>
      <c r="K16" s="318" t="s">
        <v>759</v>
      </c>
      <c r="L16" s="318" t="s">
        <v>12</v>
      </c>
      <c r="M16" s="318" t="s">
        <v>11</v>
      </c>
      <c r="N16" s="318" t="s">
        <v>817</v>
      </c>
      <c r="O16" s="318" t="s">
        <v>814</v>
      </c>
      <c r="P16" s="318">
        <v>6</v>
      </c>
      <c r="Q16" s="318" t="s">
        <v>194</v>
      </c>
      <c r="R16" s="333">
        <v>780</v>
      </c>
      <c r="S16" s="318" t="s">
        <v>194</v>
      </c>
      <c r="T16" s="318">
        <v>7.2</v>
      </c>
      <c r="U16" s="318">
        <v>60</v>
      </c>
      <c r="V16" s="318">
        <v>1973</v>
      </c>
      <c r="W16" s="318" t="s">
        <v>982</v>
      </c>
      <c r="X16" s="318">
        <f t="shared" si="35"/>
        <v>1973</v>
      </c>
      <c r="Y16" s="318" t="str">
        <f t="shared" si="36"/>
        <v>Actual</v>
      </c>
      <c r="Z16" s="318">
        <v>1992</v>
      </c>
      <c r="AA16" s="318" t="s">
        <v>801</v>
      </c>
      <c r="AB16" s="452">
        <f t="shared" si="37"/>
        <v>230840.03999204049</v>
      </c>
      <c r="AC16" s="318" t="s">
        <v>800</v>
      </c>
      <c r="AD16" s="511">
        <f t="shared" si="38"/>
        <v>182916.12806241133</v>
      </c>
      <c r="AE16" s="516">
        <f t="shared" si="39"/>
        <v>47923.911929629161</v>
      </c>
      <c r="AF16" s="511">
        <f t="shared" si="40"/>
        <v>1108.4345232753803</v>
      </c>
      <c r="AG16" s="516">
        <f t="shared" si="41"/>
        <v>46815.477406353777</v>
      </c>
      <c r="AH16" s="511">
        <f>HLOOKUP($C$1,'Inflation Adjustments'!$BI$3:$BT$4,2)*BN16</f>
        <v>1309029.5704499998</v>
      </c>
      <c r="AI16" s="511">
        <f>IF(AR16="In-Service",'Maintenace Cost Assumptions'!B$5*('Sealed Roads'!BK16+'Sealed Roads'!BL16+'Sealed Roads'!BM16),0)</f>
        <v>5287.2</v>
      </c>
      <c r="AJ16" s="318">
        <v>4</v>
      </c>
      <c r="AK16" s="318">
        <v>4</v>
      </c>
      <c r="AL16" s="318">
        <v>3</v>
      </c>
      <c r="AM16" s="318">
        <v>3</v>
      </c>
      <c r="AN16" s="318">
        <v>2</v>
      </c>
      <c r="AO16" s="318">
        <v>3</v>
      </c>
      <c r="AP16" s="332">
        <f>(AJ16*'Condition rating weights'!H$15+AK16*'Condition rating weights'!I$15+AL16*'Condition rating weights'!J$15+AM16*'Condition rating weights'!K$15+AN16*'Condition rating weights'!L$15+AO16*'Condition rating weights'!R$15)/100</f>
        <v>0.63</v>
      </c>
      <c r="AQ16" s="453"/>
      <c r="AR16" s="454" t="s">
        <v>1431</v>
      </c>
      <c r="AZ16" s="91" t="s">
        <v>815</v>
      </c>
      <c r="BH16" s="91" t="str">
        <f t="shared" si="0"/>
        <v>SRDT-012</v>
      </c>
      <c r="BI16" s="340">
        <f t="shared" si="1"/>
        <v>224640</v>
      </c>
      <c r="BJ16" s="340">
        <f t="shared" si="2"/>
        <v>123552</v>
      </c>
      <c r="BK16" s="340">
        <f t="shared" si="3"/>
        <v>252720</v>
      </c>
      <c r="BL16" s="340">
        <f t="shared" si="4"/>
        <v>156000</v>
      </c>
      <c r="BM16" s="340">
        <f t="shared" si="5"/>
        <v>120000</v>
      </c>
      <c r="BN16" s="341">
        <f t="shared" si="13"/>
        <v>876912</v>
      </c>
      <c r="BO16" s="341">
        <f>(HLOOKUP($X16,'Inflation Adjustments'!$M$3:$BT$4,2,TRUE))*BI16</f>
        <v>36794.072032311204</v>
      </c>
      <c r="BP16" s="341">
        <f>(HLOOKUP($X16,'Inflation Adjustments'!$M$3:$BT$4,2,TRUE))*BJ16</f>
        <v>20236.73961777116</v>
      </c>
      <c r="BQ16" s="341">
        <f>(HLOOKUP($X16,'Inflation Adjustments'!$M$3:$BT$4,2,TRUE))*BK16</f>
        <v>41393.3310363501</v>
      </c>
      <c r="BR16" s="341">
        <f>(HLOOKUP($X16,'Inflation Adjustments'!$M$3:$BT$4,2,TRUE))*BL16</f>
        <v>25551.438911327223</v>
      </c>
      <c r="BS16" s="341">
        <f>(HLOOKUP($X16,'Inflation Adjustments'!$M$3:$BT$4,2,TRUE))*BM16</f>
        <v>19654.953008713248</v>
      </c>
      <c r="BT16" s="341">
        <f t="shared" si="14"/>
        <v>143630.53460647294</v>
      </c>
      <c r="BU16" s="448">
        <f t="shared" si="6"/>
        <v>49</v>
      </c>
      <c r="BV16" s="93" t="s">
        <v>179</v>
      </c>
      <c r="BW16" s="448">
        <f t="shared" si="7"/>
        <v>75</v>
      </c>
      <c r="BX16" s="448">
        <f t="shared" si="8"/>
        <v>25</v>
      </c>
      <c r="BY16" s="448">
        <f t="shared" si="9"/>
        <v>50</v>
      </c>
      <c r="BZ16" s="93">
        <v>60</v>
      </c>
      <c r="CA16" s="449">
        <v>0</v>
      </c>
      <c r="CB16" s="340">
        <f t="shared" si="15"/>
        <v>269.8231949036155</v>
      </c>
      <c r="CC16" s="340">
        <f t="shared" si="16"/>
        <v>1655.733241454004</v>
      </c>
      <c r="CD16" s="340">
        <f t="shared" si="17"/>
        <v>511.02877822654449</v>
      </c>
      <c r="CE16" s="340">
        <f t="shared" si="18"/>
        <v>327.58255014522081</v>
      </c>
      <c r="CF16" s="340"/>
      <c r="CG16" s="449">
        <v>0</v>
      </c>
      <c r="CH16" s="340">
        <f t="shared" si="19"/>
        <v>13221.336550277159</v>
      </c>
      <c r="CI16" s="340">
        <f t="shared" si="20"/>
        <v>41393.3310363501</v>
      </c>
      <c r="CJ16" s="340">
        <f t="shared" si="21"/>
        <v>25040.410133100679</v>
      </c>
      <c r="CK16" s="340">
        <f t="shared" si="22"/>
        <v>16051.544957115819</v>
      </c>
      <c r="CL16" s="341">
        <f t="shared" si="23"/>
        <v>95706.622676843763</v>
      </c>
      <c r="CM16" s="449">
        <v>0</v>
      </c>
      <c r="CN16" s="340">
        <f t="shared" si="24"/>
        <v>269.8231949036155</v>
      </c>
      <c r="CO16" s="340">
        <f t="shared" si="25"/>
        <v>0</v>
      </c>
      <c r="CP16" s="340">
        <f t="shared" si="26"/>
        <v>511.02877822654409</v>
      </c>
      <c r="CQ16" s="340">
        <f t="shared" si="27"/>
        <v>327.58255014522081</v>
      </c>
      <c r="CR16" s="341">
        <f t="shared" si="28"/>
        <v>1108.4345232753803</v>
      </c>
      <c r="CS16" s="449">
        <v>0</v>
      </c>
      <c r="CT16" s="449">
        <v>0</v>
      </c>
      <c r="CU16" s="341">
        <f>(HLOOKUP($Z16,'Inflation Adjustments'!$M$3:$BT$4,2,TRUE))*BK16</f>
        <v>87209.505385567551</v>
      </c>
      <c r="CV16" s="449">
        <v>0</v>
      </c>
      <c r="CW16" s="449">
        <v>0</v>
      </c>
      <c r="CX16" s="341">
        <f t="shared" si="29"/>
        <v>87209.505385567551</v>
      </c>
      <c r="CY16" s="450">
        <v>0</v>
      </c>
      <c r="CZ16" s="450">
        <v>0</v>
      </c>
      <c r="DA16" s="340">
        <f t="shared" si="30"/>
        <v>3488.3802154227019</v>
      </c>
      <c r="DB16" s="450">
        <v>0</v>
      </c>
      <c r="DC16" s="450">
        <v>0</v>
      </c>
      <c r="DD16" s="341">
        <f t="shared" si="31"/>
        <v>3488.3802154227019</v>
      </c>
      <c r="DE16" s="91">
        <f t="shared" si="10"/>
        <v>31</v>
      </c>
      <c r="DF16" s="450">
        <v>0</v>
      </c>
      <c r="DG16" s="450">
        <v>0</v>
      </c>
      <c r="DH16" s="340">
        <f t="shared" si="11"/>
        <v>87209.505385567551</v>
      </c>
      <c r="DI16" s="450">
        <v>0</v>
      </c>
      <c r="DJ16" s="450">
        <v>0</v>
      </c>
      <c r="DK16" s="341">
        <f t="shared" si="32"/>
        <v>87209.505385567551</v>
      </c>
      <c r="DL16" s="450">
        <v>0</v>
      </c>
      <c r="DM16" s="450">
        <v>0</v>
      </c>
      <c r="DN16" s="449">
        <f t="shared" si="33"/>
        <v>0</v>
      </c>
      <c r="DO16" s="449">
        <v>0</v>
      </c>
      <c r="DP16" s="449">
        <v>0</v>
      </c>
      <c r="DQ16" s="450">
        <f t="shared" si="34"/>
        <v>0</v>
      </c>
    </row>
    <row r="17" spans="1:129" ht="30" customHeight="1" x14ac:dyDescent="0.3">
      <c r="A17" s="330" t="s">
        <v>1300</v>
      </c>
      <c r="B17" s="451" t="s">
        <v>717</v>
      </c>
      <c r="C17" s="318" t="s">
        <v>1255</v>
      </c>
      <c r="D17" s="318" t="s">
        <v>124</v>
      </c>
      <c r="E17" s="318" t="s">
        <v>718</v>
      </c>
      <c r="F17" s="318" t="s">
        <v>211</v>
      </c>
      <c r="G17" s="318" t="s">
        <v>730</v>
      </c>
      <c r="H17" s="318" t="str">
        <f t="shared" si="42"/>
        <v>S   00.50642</v>
      </c>
      <c r="I17" s="318" t="str">
        <f t="shared" si="42"/>
        <v>E 166.93137</v>
      </c>
      <c r="J17" s="318" t="s">
        <v>731</v>
      </c>
      <c r="K17" s="318" t="s">
        <v>732</v>
      </c>
      <c r="L17" s="318" t="s">
        <v>12</v>
      </c>
      <c r="M17" s="318" t="s">
        <v>11</v>
      </c>
      <c r="N17" s="318" t="s">
        <v>817</v>
      </c>
      <c r="O17" s="318" t="s">
        <v>814</v>
      </c>
      <c r="P17" s="318">
        <v>4</v>
      </c>
      <c r="Q17" s="318" t="s">
        <v>194</v>
      </c>
      <c r="R17" s="333">
        <v>1020</v>
      </c>
      <c r="S17" s="318" t="s">
        <v>194</v>
      </c>
      <c r="T17" s="318">
        <v>7.2</v>
      </c>
      <c r="U17" s="318">
        <v>60</v>
      </c>
      <c r="V17" s="318">
        <v>1973</v>
      </c>
      <c r="W17" s="318" t="s">
        <v>982</v>
      </c>
      <c r="X17" s="318">
        <f t="shared" si="35"/>
        <v>1973</v>
      </c>
      <c r="Y17" s="318" t="str">
        <f t="shared" si="36"/>
        <v>Actual</v>
      </c>
      <c r="Z17" s="318">
        <v>1992</v>
      </c>
      <c r="AA17" s="318" t="s">
        <v>801</v>
      </c>
      <c r="AB17" s="452">
        <f t="shared" si="37"/>
        <v>289268.41575323674</v>
      </c>
      <c r="AC17" s="318" t="s">
        <v>800</v>
      </c>
      <c r="AD17" s="511">
        <f t="shared" si="38"/>
        <v>228908.56172448929</v>
      </c>
      <c r="AE17" s="516">
        <f t="shared" si="39"/>
        <v>60359.854028747446</v>
      </c>
      <c r="AF17" s="511">
        <f t="shared" si="40"/>
        <v>1239.5024854721501</v>
      </c>
      <c r="AG17" s="516">
        <f t="shared" si="41"/>
        <v>59120.351543275297</v>
      </c>
      <c r="AH17" s="511">
        <f>HLOOKUP($C$1,'Inflation Adjustments'!$BI$3:$BT$4,2)*BN17</f>
        <v>1596979.2940499999</v>
      </c>
      <c r="AI17" s="511">
        <f>IF(AR17="In-Service",'Maintenace Cost Assumptions'!B$5*('Sealed Roads'!BK17+'Sealed Roads'!BL17+'Sealed Roads'!BM17),0)</f>
        <v>6144.8</v>
      </c>
      <c r="AJ17" s="318">
        <v>4</v>
      </c>
      <c r="AK17" s="318">
        <v>4</v>
      </c>
      <c r="AL17" s="318">
        <v>3</v>
      </c>
      <c r="AM17" s="318">
        <v>3</v>
      </c>
      <c r="AN17" s="318">
        <v>1</v>
      </c>
      <c r="AO17" s="318">
        <v>3</v>
      </c>
      <c r="AP17" s="332">
        <f>(AJ17*'Condition rating weights'!H$15+AK17*'Condition rating weights'!I$15+AL17*'Condition rating weights'!J$15+AM17*'Condition rating weights'!K$15+AN17*'Condition rating weights'!L$15+AO17*'Condition rating weights'!R$15)/100</f>
        <v>0.61</v>
      </c>
      <c r="AQ17" s="453"/>
      <c r="AR17" s="454" t="s">
        <v>1431</v>
      </c>
      <c r="AZ17" s="91" t="str">
        <f>'GRC and TUL Assumptions'!C36</f>
        <v>None</v>
      </c>
      <c r="BA17" s="91" t="str">
        <f>'GRC and TUL Assumptions'!D36</f>
        <v>One</v>
      </c>
      <c r="BB17" s="91" t="str">
        <f>'GRC and TUL Assumptions'!E36</f>
        <v>Two</v>
      </c>
      <c r="BD17" s="91" t="str">
        <f>'GRC and TUL Assumptions'!F36</f>
        <v>None</v>
      </c>
      <c r="BE17" s="91" t="str">
        <f>'GRC and TUL Assumptions'!G36</f>
        <v xml:space="preserve">One </v>
      </c>
      <c r="BF17" s="91" t="str">
        <f>'GRC and TUL Assumptions'!H36</f>
        <v>Two</v>
      </c>
      <c r="BH17" s="91" t="str">
        <f t="shared" si="0"/>
        <v>SRDT-013</v>
      </c>
      <c r="BI17" s="340">
        <f t="shared" si="1"/>
        <v>293760</v>
      </c>
      <c r="BJ17" s="340">
        <f t="shared" si="2"/>
        <v>161568</v>
      </c>
      <c r="BK17" s="340">
        <f t="shared" si="3"/>
        <v>330480</v>
      </c>
      <c r="BL17" s="340">
        <f t="shared" si="4"/>
        <v>204000</v>
      </c>
      <c r="BM17" s="340">
        <f t="shared" si="5"/>
        <v>80000</v>
      </c>
      <c r="BN17" s="341">
        <f t="shared" si="13"/>
        <v>1069808</v>
      </c>
      <c r="BO17" s="341">
        <f>(HLOOKUP($X17,'Inflation Adjustments'!$M$3:$BT$4,2,TRUE))*BI17</f>
        <v>48115.32496533003</v>
      </c>
      <c r="BP17" s="341">
        <f>(HLOOKUP($X17,'Inflation Adjustments'!$M$3:$BT$4,2,TRUE))*BJ17</f>
        <v>26463.428730931519</v>
      </c>
      <c r="BQ17" s="341">
        <f>(HLOOKUP($X17,'Inflation Adjustments'!$M$3:$BT$4,2,TRUE))*BK17</f>
        <v>54129.740585996289</v>
      </c>
      <c r="BR17" s="341">
        <f>(HLOOKUP($X17,'Inflation Adjustments'!$M$3:$BT$4,2,TRUE))*BL17</f>
        <v>33413.420114812521</v>
      </c>
      <c r="BS17" s="341">
        <f>(HLOOKUP($X17,'Inflation Adjustments'!$M$3:$BT$4,2,TRUE))*BM17</f>
        <v>13103.302005808833</v>
      </c>
      <c r="BT17" s="341">
        <f t="shared" si="14"/>
        <v>175225.21640287919</v>
      </c>
      <c r="BU17" s="448">
        <f t="shared" si="6"/>
        <v>49</v>
      </c>
      <c r="BV17" s="93" t="s">
        <v>179</v>
      </c>
      <c r="BW17" s="448">
        <f t="shared" si="7"/>
        <v>75</v>
      </c>
      <c r="BX17" s="448">
        <f t="shared" si="8"/>
        <v>25</v>
      </c>
      <c r="BY17" s="448">
        <f t="shared" si="9"/>
        <v>50</v>
      </c>
      <c r="BZ17" s="93">
        <v>60</v>
      </c>
      <c r="CA17" s="449">
        <v>0</v>
      </c>
      <c r="CB17" s="340">
        <f t="shared" si="15"/>
        <v>352.84571641242024</v>
      </c>
      <c r="CC17" s="340">
        <f t="shared" si="16"/>
        <v>2165.1896234398514</v>
      </c>
      <c r="CD17" s="340">
        <f t="shared" si="17"/>
        <v>668.26840229625043</v>
      </c>
      <c r="CE17" s="340">
        <f t="shared" si="18"/>
        <v>218.38836676348055</v>
      </c>
      <c r="CF17" s="340"/>
      <c r="CG17" s="449">
        <v>0</v>
      </c>
      <c r="CH17" s="340">
        <f t="shared" si="19"/>
        <v>17289.440104208592</v>
      </c>
      <c r="CI17" s="340">
        <f t="shared" si="20"/>
        <v>54129.740585996289</v>
      </c>
      <c r="CJ17" s="340">
        <f t="shared" si="21"/>
        <v>32745.151712516272</v>
      </c>
      <c r="CK17" s="340">
        <f t="shared" si="22"/>
        <v>10701.029971410548</v>
      </c>
      <c r="CL17" s="341">
        <f t="shared" si="23"/>
        <v>114865.36237413171</v>
      </c>
      <c r="CM17" s="449">
        <v>0</v>
      </c>
      <c r="CN17" s="340">
        <f t="shared" si="24"/>
        <v>352.84571641242024</v>
      </c>
      <c r="CO17" s="340">
        <f t="shared" si="25"/>
        <v>0</v>
      </c>
      <c r="CP17" s="340">
        <f t="shared" si="26"/>
        <v>668.26840229624941</v>
      </c>
      <c r="CQ17" s="340">
        <f t="shared" si="27"/>
        <v>218.38836676348055</v>
      </c>
      <c r="CR17" s="341">
        <f t="shared" si="28"/>
        <v>1239.5024854721501</v>
      </c>
      <c r="CS17" s="449">
        <v>0</v>
      </c>
      <c r="CT17" s="449">
        <v>0</v>
      </c>
      <c r="CU17" s="341">
        <f>(HLOOKUP($Z17,'Inflation Adjustments'!$M$3:$BT$4,2,TRUE))*BK17</f>
        <v>114043.19935035758</v>
      </c>
      <c r="CV17" s="449">
        <v>0</v>
      </c>
      <c r="CW17" s="449">
        <v>0</v>
      </c>
      <c r="CX17" s="341">
        <f t="shared" si="29"/>
        <v>114043.19935035758</v>
      </c>
      <c r="CY17" s="450">
        <v>0</v>
      </c>
      <c r="CZ17" s="450">
        <v>0</v>
      </c>
      <c r="DA17" s="340">
        <f t="shared" si="30"/>
        <v>4561.7279740143031</v>
      </c>
      <c r="DB17" s="450">
        <v>0</v>
      </c>
      <c r="DC17" s="450">
        <v>0</v>
      </c>
      <c r="DD17" s="341">
        <f t="shared" si="31"/>
        <v>4561.7279740143031</v>
      </c>
      <c r="DE17" s="91">
        <f t="shared" si="10"/>
        <v>31</v>
      </c>
      <c r="DF17" s="450">
        <v>0</v>
      </c>
      <c r="DG17" s="450">
        <v>0</v>
      </c>
      <c r="DH17" s="340">
        <f t="shared" si="11"/>
        <v>114043.19935035758</v>
      </c>
      <c r="DI17" s="450">
        <v>0</v>
      </c>
      <c r="DJ17" s="450">
        <v>0</v>
      </c>
      <c r="DK17" s="341">
        <f t="shared" si="32"/>
        <v>114043.19935035758</v>
      </c>
      <c r="DL17" s="450">
        <v>0</v>
      </c>
      <c r="DM17" s="450">
        <v>0</v>
      </c>
      <c r="DN17" s="449">
        <f t="shared" si="33"/>
        <v>0</v>
      </c>
      <c r="DO17" s="449">
        <v>0</v>
      </c>
      <c r="DP17" s="449">
        <v>0</v>
      </c>
      <c r="DQ17" s="450">
        <f t="shared" si="34"/>
        <v>0</v>
      </c>
    </row>
    <row r="18" spans="1:129" ht="30" customHeight="1" x14ac:dyDescent="0.3">
      <c r="A18" s="330" t="s">
        <v>1301</v>
      </c>
      <c r="B18" s="451" t="s">
        <v>764</v>
      </c>
      <c r="C18" s="318" t="s">
        <v>1255</v>
      </c>
      <c r="D18" s="318" t="s">
        <v>140</v>
      </c>
      <c r="E18" s="318" t="s">
        <v>718</v>
      </c>
      <c r="F18" s="318" t="s">
        <v>211</v>
      </c>
      <c r="G18" s="318" t="s">
        <v>766</v>
      </c>
      <c r="H18" s="318" t="s">
        <v>767</v>
      </c>
      <c r="I18" s="318" t="s">
        <v>768</v>
      </c>
      <c r="J18" s="318" t="s">
        <v>769</v>
      </c>
      <c r="K18" s="318" t="s">
        <v>770</v>
      </c>
      <c r="L18" s="318" t="s">
        <v>184</v>
      </c>
      <c r="M18" s="318" t="s">
        <v>11</v>
      </c>
      <c r="N18" s="318" t="s">
        <v>817</v>
      </c>
      <c r="O18" s="318" t="s">
        <v>814</v>
      </c>
      <c r="P18" s="318">
        <v>0</v>
      </c>
      <c r="Q18" s="318" t="s">
        <v>194</v>
      </c>
      <c r="R18" s="333">
        <v>1300</v>
      </c>
      <c r="S18" s="318" t="s">
        <v>194</v>
      </c>
      <c r="T18" s="318">
        <v>7.2</v>
      </c>
      <c r="U18" s="318">
        <v>60</v>
      </c>
      <c r="V18" s="318">
        <v>1973</v>
      </c>
      <c r="W18" s="318" t="s">
        <v>982</v>
      </c>
      <c r="X18" s="318">
        <f t="shared" si="35"/>
        <v>1973</v>
      </c>
      <c r="Y18" s="318" t="str">
        <f t="shared" si="36"/>
        <v>Actual</v>
      </c>
      <c r="Z18" s="318">
        <v>1992</v>
      </c>
      <c r="AA18" s="318" t="s">
        <v>801</v>
      </c>
      <c r="AB18" s="452">
        <f t="shared" si="37"/>
        <v>459291.18839978648</v>
      </c>
      <c r="AC18" s="318" t="s">
        <v>800</v>
      </c>
      <c r="AD18" s="511">
        <f t="shared" si="38"/>
        <v>278107.6385088258</v>
      </c>
      <c r="AE18" s="516">
        <f t="shared" si="39"/>
        <v>181183.54989096068</v>
      </c>
      <c r="AF18" s="511">
        <f t="shared" si="40"/>
        <v>1301.4199552169325</v>
      </c>
      <c r="AG18" s="516">
        <f t="shared" si="41"/>
        <v>179882.12993574375</v>
      </c>
      <c r="AH18" s="511">
        <f>HLOOKUP($C$1,'Inflation Adjustments'!$BI$3:$BT$4,2)*BN18</f>
        <v>2861225.7082499997</v>
      </c>
      <c r="AI18" s="511">
        <f>IF(AR18="In-Service",'Maintenace Cost Assumptions'!B$5*('Sealed Roads'!BK18+'Sealed Roads'!BL18+'Sealed Roads'!BM18),0)</f>
        <v>6812</v>
      </c>
      <c r="AJ18" s="318">
        <v>4</v>
      </c>
      <c r="AK18" s="318">
        <v>4</v>
      </c>
      <c r="AL18" s="318">
        <v>3</v>
      </c>
      <c r="AM18" s="318">
        <v>3</v>
      </c>
      <c r="AN18" s="318">
        <v>3</v>
      </c>
      <c r="AO18" s="318">
        <v>3</v>
      </c>
      <c r="AP18" s="332">
        <f>(AJ18*'Condition rating weights'!H$15+AK18*'Condition rating weights'!I$15+AL18*'Condition rating weights'!J$15+AM18*'Condition rating weights'!K$15+AN18*'Condition rating weights'!L$15+AO18*'Condition rating weights'!R$15)/100</f>
        <v>0.65</v>
      </c>
      <c r="AQ18" s="453"/>
      <c r="AR18" s="454" t="s">
        <v>1431</v>
      </c>
      <c r="AZ18" s="91">
        <f>'GRC and TUL Assumptions'!C37</f>
        <v>0</v>
      </c>
      <c r="BA18" s="91">
        <f>'GRC and TUL Assumptions'!D37</f>
        <v>20000</v>
      </c>
      <c r="BB18" s="91">
        <f>'GRC and TUL Assumptions'!E37</f>
        <v>40000</v>
      </c>
      <c r="BD18" s="91" t="str">
        <f>'GRC and TUL Assumptions'!F37</f>
        <v>N/A</v>
      </c>
      <c r="BE18" s="91">
        <f>'GRC and TUL Assumptions'!G37</f>
        <v>50</v>
      </c>
      <c r="BF18" s="91">
        <f>'GRC and TUL Assumptions'!H37</f>
        <v>50</v>
      </c>
      <c r="BH18" s="91" t="str">
        <f t="shared" si="0"/>
        <v>SRDT-014</v>
      </c>
      <c r="BI18" s="340">
        <f t="shared" si="1"/>
        <v>1029600</v>
      </c>
      <c r="BJ18" s="340">
        <f t="shared" si="2"/>
        <v>205920</v>
      </c>
      <c r="BK18" s="340">
        <f t="shared" si="3"/>
        <v>421200</v>
      </c>
      <c r="BL18" s="340">
        <f t="shared" si="4"/>
        <v>260000</v>
      </c>
      <c r="BM18" s="340">
        <f t="shared" si="5"/>
        <v>0</v>
      </c>
      <c r="BN18" s="341">
        <f t="shared" si="13"/>
        <v>1916720</v>
      </c>
      <c r="BO18" s="341">
        <f>(HLOOKUP($X18,'Inflation Adjustments'!$M$3:$BT$4,2,TRUE))*BI18</f>
        <v>168639.49681475968</v>
      </c>
      <c r="BP18" s="341">
        <f>(HLOOKUP($X18,'Inflation Adjustments'!$M$3:$BT$4,2,TRUE))*BJ18</f>
        <v>33727.899362951932</v>
      </c>
      <c r="BQ18" s="341">
        <f>(HLOOKUP($X18,'Inflation Adjustments'!$M$3:$BT$4,2,TRUE))*BK18</f>
        <v>68988.885060583503</v>
      </c>
      <c r="BR18" s="341">
        <f>(HLOOKUP($X18,'Inflation Adjustments'!$M$3:$BT$4,2,TRUE))*BL18</f>
        <v>42585.731518878703</v>
      </c>
      <c r="BS18" s="341">
        <f>(HLOOKUP($X18,'Inflation Adjustments'!$M$3:$BT$4,2,TRUE))*BM18</f>
        <v>0</v>
      </c>
      <c r="BT18" s="341">
        <f t="shared" si="14"/>
        <v>313942.01275717386</v>
      </c>
      <c r="BU18" s="448">
        <f t="shared" si="6"/>
        <v>49</v>
      </c>
      <c r="BV18" s="93" t="s">
        <v>179</v>
      </c>
      <c r="BW18" s="448">
        <f t="shared" si="7"/>
        <v>75</v>
      </c>
      <c r="BX18" s="448">
        <f t="shared" si="8"/>
        <v>25</v>
      </c>
      <c r="BY18" s="448">
        <f t="shared" si="9"/>
        <v>50</v>
      </c>
      <c r="BZ18" s="93">
        <v>60</v>
      </c>
      <c r="CA18" s="449">
        <v>0</v>
      </c>
      <c r="CB18" s="340">
        <f t="shared" si="15"/>
        <v>449.70532483935909</v>
      </c>
      <c r="CC18" s="340">
        <f t="shared" si="16"/>
        <v>2759.5554024233402</v>
      </c>
      <c r="CD18" s="340">
        <f t="shared" si="17"/>
        <v>851.71463037757405</v>
      </c>
      <c r="CE18" s="340">
        <f t="shared" si="18"/>
        <v>0</v>
      </c>
      <c r="CF18" s="340"/>
      <c r="CG18" s="449">
        <v>0</v>
      </c>
      <c r="CH18" s="340">
        <f t="shared" si="19"/>
        <v>22035.560917128594</v>
      </c>
      <c r="CI18" s="340">
        <f t="shared" si="20"/>
        <v>68988.885060583503</v>
      </c>
      <c r="CJ18" s="340">
        <f t="shared" si="21"/>
        <v>41734.01688850113</v>
      </c>
      <c r="CK18" s="340">
        <f t="shared" si="22"/>
        <v>0</v>
      </c>
      <c r="CL18" s="341">
        <f t="shared" si="23"/>
        <v>132758.46286621323</v>
      </c>
      <c r="CM18" s="449">
        <v>0</v>
      </c>
      <c r="CN18" s="340">
        <f t="shared" si="24"/>
        <v>449.70532483935909</v>
      </c>
      <c r="CO18" s="340">
        <f t="shared" si="25"/>
        <v>0</v>
      </c>
      <c r="CP18" s="340">
        <f t="shared" si="26"/>
        <v>851.71463037757349</v>
      </c>
      <c r="CQ18" s="340">
        <f t="shared" si="27"/>
        <v>0</v>
      </c>
      <c r="CR18" s="341">
        <f t="shared" si="28"/>
        <v>1301.4199552169325</v>
      </c>
      <c r="CS18" s="449">
        <v>0</v>
      </c>
      <c r="CT18" s="449">
        <v>0</v>
      </c>
      <c r="CU18" s="341">
        <f>(HLOOKUP($Z18,'Inflation Adjustments'!$M$3:$BT$4,2,TRUE))*BK18</f>
        <v>145349.17564261259</v>
      </c>
      <c r="CV18" s="449">
        <v>0</v>
      </c>
      <c r="CW18" s="449">
        <v>0</v>
      </c>
      <c r="CX18" s="341">
        <f t="shared" si="29"/>
        <v>145349.17564261259</v>
      </c>
      <c r="CY18" s="450">
        <v>0</v>
      </c>
      <c r="CZ18" s="450">
        <v>0</v>
      </c>
      <c r="DA18" s="340">
        <f t="shared" si="30"/>
        <v>5813.9670257045036</v>
      </c>
      <c r="DB18" s="450">
        <v>0</v>
      </c>
      <c r="DC18" s="450">
        <v>0</v>
      </c>
      <c r="DD18" s="341">
        <f t="shared" si="31"/>
        <v>5813.9670257045036</v>
      </c>
      <c r="DE18" s="91">
        <f t="shared" si="10"/>
        <v>31</v>
      </c>
      <c r="DF18" s="450">
        <v>0</v>
      </c>
      <c r="DG18" s="450">
        <v>0</v>
      </c>
      <c r="DH18" s="340">
        <f t="shared" si="11"/>
        <v>145349.17564261259</v>
      </c>
      <c r="DI18" s="450">
        <v>0</v>
      </c>
      <c r="DJ18" s="450">
        <v>0</v>
      </c>
      <c r="DK18" s="341">
        <f t="shared" si="32"/>
        <v>145349.17564261259</v>
      </c>
      <c r="DL18" s="450">
        <v>0</v>
      </c>
      <c r="DM18" s="450">
        <v>0</v>
      </c>
      <c r="DN18" s="449">
        <f t="shared" si="33"/>
        <v>0</v>
      </c>
      <c r="DO18" s="449">
        <v>0</v>
      </c>
      <c r="DP18" s="449">
        <v>0</v>
      </c>
      <c r="DQ18" s="450">
        <f t="shared" si="34"/>
        <v>0</v>
      </c>
    </row>
    <row r="19" spans="1:129" ht="31" customHeight="1" x14ac:dyDescent="0.3">
      <c r="A19" s="330" t="s">
        <v>1302</v>
      </c>
      <c r="B19" s="451" t="s">
        <v>765</v>
      </c>
      <c r="C19" s="318" t="s">
        <v>1255</v>
      </c>
      <c r="D19" s="318" t="s">
        <v>140</v>
      </c>
      <c r="E19" s="318" t="s">
        <v>718</v>
      </c>
      <c r="F19" s="318" t="s">
        <v>211</v>
      </c>
      <c r="G19" s="318" t="s">
        <v>771</v>
      </c>
      <c r="H19" s="318" t="str">
        <f>J18</f>
        <v>S   00.53529</v>
      </c>
      <c r="I19" s="318" t="str">
        <f>K18</f>
        <v>E 166.92108</v>
      </c>
      <c r="J19" s="318" t="str">
        <f>H19</f>
        <v>S   00.53529</v>
      </c>
      <c r="K19" s="318" t="str">
        <f>I19</f>
        <v>E 166.92108</v>
      </c>
      <c r="L19" s="318" t="s">
        <v>12</v>
      </c>
      <c r="M19" s="318" t="s">
        <v>11</v>
      </c>
      <c r="N19" s="318" t="s">
        <v>817</v>
      </c>
      <c r="O19" s="318" t="s">
        <v>814</v>
      </c>
      <c r="P19" s="318">
        <v>2</v>
      </c>
      <c r="Q19" s="318" t="s">
        <v>194</v>
      </c>
      <c r="R19" s="333">
        <v>1300</v>
      </c>
      <c r="S19" s="318" t="s">
        <v>194</v>
      </c>
      <c r="T19" s="318">
        <v>7.2</v>
      </c>
      <c r="U19" s="318">
        <v>60</v>
      </c>
      <c r="V19" s="318">
        <v>1973</v>
      </c>
      <c r="W19" s="318" t="s">
        <v>982</v>
      </c>
      <c r="X19" s="318">
        <f t="shared" si="35"/>
        <v>1973</v>
      </c>
      <c r="Y19" s="318" t="str">
        <f t="shared" si="36"/>
        <v>Actual</v>
      </c>
      <c r="Z19" s="318">
        <v>1992</v>
      </c>
      <c r="AA19" s="318" t="s">
        <v>801</v>
      </c>
      <c r="AB19" s="452">
        <f t="shared" si="37"/>
        <v>358526.79597511649</v>
      </c>
      <c r="AC19" s="318" t="s">
        <v>800</v>
      </c>
      <c r="AD19" s="511">
        <f t="shared" si="38"/>
        <v>283458.15349453106</v>
      </c>
      <c r="AE19" s="516">
        <f t="shared" si="39"/>
        <v>75068.642480585433</v>
      </c>
      <c r="AF19" s="511">
        <f t="shared" si="40"/>
        <v>1410.6141385986728</v>
      </c>
      <c r="AG19" s="516">
        <f t="shared" si="41"/>
        <v>73658.028341986763</v>
      </c>
      <c r="AH19" s="511">
        <f>HLOOKUP($C$1,'Inflation Adjustments'!$BI$3:$BT$4,2)*BN19</f>
        <v>1942872.4507499998</v>
      </c>
      <c r="AI19" s="511">
        <f>IF(AR19="In-Service",'Maintenace Cost Assumptions'!B$5*('Sealed Roads'!BK19+'Sealed Roads'!BL19+'Sealed Roads'!BM19),0)</f>
        <v>7212</v>
      </c>
      <c r="AJ19" s="318">
        <v>4</v>
      </c>
      <c r="AK19" s="318">
        <v>4</v>
      </c>
      <c r="AL19" s="318">
        <v>3</v>
      </c>
      <c r="AM19" s="318">
        <v>3</v>
      </c>
      <c r="AN19" s="318">
        <v>3</v>
      </c>
      <c r="AO19" s="318">
        <v>3</v>
      </c>
      <c r="AP19" s="332">
        <f>(AJ19*'Condition rating weights'!H$15+AK19*'Condition rating weights'!I$15+AL19*'Condition rating weights'!J$15+AM19*'Condition rating weights'!K$15+AN19*'Condition rating weights'!L$15+AO19*'Condition rating weights'!R$15)/100</f>
        <v>0.65</v>
      </c>
      <c r="AQ19" s="453"/>
      <c r="AR19" s="454" t="s">
        <v>1431</v>
      </c>
      <c r="BH19" s="91" t="str">
        <f t="shared" si="0"/>
        <v>SRDT-015</v>
      </c>
      <c r="BI19" s="340">
        <f t="shared" si="1"/>
        <v>374400</v>
      </c>
      <c r="BJ19" s="340">
        <f t="shared" si="2"/>
        <v>205920</v>
      </c>
      <c r="BK19" s="340">
        <f t="shared" si="3"/>
        <v>421200</v>
      </c>
      <c r="BL19" s="340">
        <f t="shared" si="4"/>
        <v>260000</v>
      </c>
      <c r="BM19" s="340">
        <f t="shared" si="5"/>
        <v>40000</v>
      </c>
      <c r="BN19" s="341">
        <f t="shared" si="13"/>
        <v>1301520</v>
      </c>
      <c r="BO19" s="341">
        <f>(HLOOKUP($X19,'Inflation Adjustments'!$M$3:$BT$4,2,TRUE))*BI19</f>
        <v>61323.453387185335</v>
      </c>
      <c r="BP19" s="341">
        <f>(HLOOKUP($X19,'Inflation Adjustments'!$M$3:$BT$4,2,TRUE))*BJ19</f>
        <v>33727.899362951932</v>
      </c>
      <c r="BQ19" s="341">
        <f>(HLOOKUP($X19,'Inflation Adjustments'!$M$3:$BT$4,2,TRUE))*BK19</f>
        <v>68988.885060583503</v>
      </c>
      <c r="BR19" s="341">
        <f>(HLOOKUP($X19,'Inflation Adjustments'!$M$3:$BT$4,2,TRUE))*BL19</f>
        <v>42585.731518878703</v>
      </c>
      <c r="BS19" s="341">
        <f>(HLOOKUP($X19,'Inflation Adjustments'!$M$3:$BT$4,2,TRUE))*BM19</f>
        <v>6551.6510029044166</v>
      </c>
      <c r="BT19" s="341">
        <f t="shared" si="14"/>
        <v>213177.6203325039</v>
      </c>
      <c r="BU19" s="448">
        <f t="shared" si="6"/>
        <v>49</v>
      </c>
      <c r="BV19" s="93" t="s">
        <v>179</v>
      </c>
      <c r="BW19" s="448">
        <f t="shared" si="7"/>
        <v>75</v>
      </c>
      <c r="BX19" s="448">
        <f t="shared" si="8"/>
        <v>25</v>
      </c>
      <c r="BY19" s="448">
        <f t="shared" si="9"/>
        <v>50</v>
      </c>
      <c r="BZ19" s="93">
        <v>60</v>
      </c>
      <c r="CA19" s="449">
        <v>0</v>
      </c>
      <c r="CB19" s="340">
        <f t="shared" si="15"/>
        <v>449.70532483935909</v>
      </c>
      <c r="CC19" s="340">
        <f t="shared" si="16"/>
        <v>2759.5554024233402</v>
      </c>
      <c r="CD19" s="340">
        <f t="shared" si="17"/>
        <v>851.71463037757405</v>
      </c>
      <c r="CE19" s="340">
        <f t="shared" si="18"/>
        <v>109.19418338174027</v>
      </c>
      <c r="CF19" s="340"/>
      <c r="CG19" s="449">
        <v>0</v>
      </c>
      <c r="CH19" s="340">
        <f t="shared" si="19"/>
        <v>22035.560917128594</v>
      </c>
      <c r="CI19" s="340">
        <f t="shared" si="20"/>
        <v>68988.885060583503</v>
      </c>
      <c r="CJ19" s="340">
        <f t="shared" si="21"/>
        <v>41734.01688850113</v>
      </c>
      <c r="CK19" s="340">
        <f t="shared" si="22"/>
        <v>5350.5149857052738</v>
      </c>
      <c r="CL19" s="341">
        <f t="shared" si="23"/>
        <v>138108.97785191849</v>
      </c>
      <c r="CM19" s="449">
        <v>0</v>
      </c>
      <c r="CN19" s="340">
        <f t="shared" si="24"/>
        <v>449.70532483935909</v>
      </c>
      <c r="CO19" s="340">
        <f t="shared" si="25"/>
        <v>0</v>
      </c>
      <c r="CP19" s="340">
        <f t="shared" si="26"/>
        <v>851.71463037757349</v>
      </c>
      <c r="CQ19" s="340">
        <f t="shared" si="27"/>
        <v>109.19418338174027</v>
      </c>
      <c r="CR19" s="341">
        <f t="shared" si="28"/>
        <v>1410.6141385986728</v>
      </c>
      <c r="CS19" s="449">
        <v>0</v>
      </c>
      <c r="CT19" s="449">
        <v>0</v>
      </c>
      <c r="CU19" s="341">
        <f>(HLOOKUP($Z19,'Inflation Adjustments'!$M$3:$BT$4,2,TRUE))*BK19</f>
        <v>145349.17564261259</v>
      </c>
      <c r="CV19" s="449">
        <v>0</v>
      </c>
      <c r="CW19" s="449">
        <v>0</v>
      </c>
      <c r="CX19" s="341">
        <f t="shared" si="29"/>
        <v>145349.17564261259</v>
      </c>
      <c r="CY19" s="450">
        <v>0</v>
      </c>
      <c r="CZ19" s="450">
        <v>0</v>
      </c>
      <c r="DA19" s="340">
        <f t="shared" si="30"/>
        <v>5813.9670257045036</v>
      </c>
      <c r="DB19" s="450">
        <v>0</v>
      </c>
      <c r="DC19" s="450">
        <v>0</v>
      </c>
      <c r="DD19" s="341">
        <f t="shared" si="31"/>
        <v>5813.9670257045036</v>
      </c>
      <c r="DE19" s="91">
        <f t="shared" si="10"/>
        <v>31</v>
      </c>
      <c r="DF19" s="450">
        <v>0</v>
      </c>
      <c r="DG19" s="450">
        <v>0</v>
      </c>
      <c r="DH19" s="340">
        <f t="shared" si="11"/>
        <v>145349.17564261259</v>
      </c>
      <c r="DI19" s="450">
        <v>0</v>
      </c>
      <c r="DJ19" s="450">
        <v>0</v>
      </c>
      <c r="DK19" s="341">
        <f t="shared" si="32"/>
        <v>145349.17564261259</v>
      </c>
      <c r="DL19" s="450">
        <v>0</v>
      </c>
      <c r="DM19" s="450">
        <v>0</v>
      </c>
      <c r="DN19" s="449">
        <f t="shared" si="33"/>
        <v>0</v>
      </c>
      <c r="DO19" s="449">
        <v>0</v>
      </c>
      <c r="DP19" s="449">
        <v>0</v>
      </c>
      <c r="DQ19" s="450">
        <f t="shared" si="34"/>
        <v>0</v>
      </c>
    </row>
    <row r="20" spans="1:129" ht="39" customHeight="1" x14ac:dyDescent="0.3">
      <c r="A20" s="330" t="s">
        <v>1303</v>
      </c>
      <c r="B20" s="451" t="s">
        <v>772</v>
      </c>
      <c r="C20" s="318" t="s">
        <v>1255</v>
      </c>
      <c r="D20" s="318" t="s">
        <v>140</v>
      </c>
      <c r="E20" s="318" t="s">
        <v>718</v>
      </c>
      <c r="F20" s="318" t="s">
        <v>211</v>
      </c>
      <c r="G20" s="318" t="s">
        <v>723</v>
      </c>
      <c r="H20" s="318" t="s">
        <v>773</v>
      </c>
      <c r="I20" s="318" t="s">
        <v>774</v>
      </c>
      <c r="J20" s="318" t="s">
        <v>775</v>
      </c>
      <c r="K20" s="318" t="s">
        <v>776</v>
      </c>
      <c r="L20" s="318" t="s">
        <v>184</v>
      </c>
      <c r="M20" s="318" t="s">
        <v>11</v>
      </c>
      <c r="N20" s="318" t="s">
        <v>817</v>
      </c>
      <c r="O20" s="318" t="s">
        <v>814</v>
      </c>
      <c r="P20" s="318">
        <v>0</v>
      </c>
      <c r="Q20" s="318" t="s">
        <v>194</v>
      </c>
      <c r="R20" s="333">
        <v>500</v>
      </c>
      <c r="S20" s="318" t="s">
        <v>194</v>
      </c>
      <c r="T20" s="318">
        <v>7.2</v>
      </c>
      <c r="U20" s="318">
        <v>60</v>
      </c>
      <c r="V20" s="318">
        <v>1973</v>
      </c>
      <c r="W20" s="318" t="s">
        <v>982</v>
      </c>
      <c r="X20" s="318">
        <f t="shared" si="35"/>
        <v>1973</v>
      </c>
      <c r="Y20" s="318" t="str">
        <f t="shared" si="36"/>
        <v>Actual</v>
      </c>
      <c r="Z20" s="318">
        <v>1992</v>
      </c>
      <c r="AA20" s="318" t="s">
        <v>801</v>
      </c>
      <c r="AB20" s="452">
        <f t="shared" si="37"/>
        <v>176650.45707684092</v>
      </c>
      <c r="AC20" s="318" t="s">
        <v>800</v>
      </c>
      <c r="AD20" s="511">
        <f t="shared" si="38"/>
        <v>106964.47634954839</v>
      </c>
      <c r="AE20" s="516">
        <f t="shared" si="39"/>
        <v>69685.980727292525</v>
      </c>
      <c r="AF20" s="511">
        <f t="shared" si="40"/>
        <v>500.5461366218974</v>
      </c>
      <c r="AG20" s="516">
        <f t="shared" si="41"/>
        <v>69185.434590670629</v>
      </c>
      <c r="AH20" s="511">
        <f>HLOOKUP($C$1,'Inflation Adjustments'!$BI$3:$BT$4,2)*BN20</f>
        <v>1100471.4262499998</v>
      </c>
      <c r="AI20" s="511">
        <f>IF(AR20="In-Service",'Maintenace Cost Assumptions'!B$5*('Sealed Roads'!BK20+'Sealed Roads'!BL20+'Sealed Roads'!BM20),0)</f>
        <v>2620</v>
      </c>
      <c r="AJ20" s="318">
        <v>4</v>
      </c>
      <c r="AK20" s="318">
        <v>4</v>
      </c>
      <c r="AL20" s="318">
        <v>2</v>
      </c>
      <c r="AM20" s="318">
        <v>3</v>
      </c>
      <c r="AN20" s="318">
        <v>2</v>
      </c>
      <c r="AO20" s="318">
        <v>3</v>
      </c>
      <c r="AP20" s="332">
        <f>(AJ20*'Condition rating weights'!H$15+AK20*'Condition rating weights'!I$15+AL20*'Condition rating weights'!J$15+AM20*'Condition rating weights'!K$15+AN20*'Condition rating weights'!L$15+AO20*'Condition rating weights'!R$15)/100</f>
        <v>0.56999999999999995</v>
      </c>
      <c r="AQ20" s="453"/>
      <c r="AR20" s="454" t="s">
        <v>1431</v>
      </c>
      <c r="BH20" s="91" t="str">
        <f t="shared" si="0"/>
        <v>SRDT-016</v>
      </c>
      <c r="BI20" s="340">
        <f t="shared" si="1"/>
        <v>396000</v>
      </c>
      <c r="BJ20" s="340">
        <f t="shared" si="2"/>
        <v>79200</v>
      </c>
      <c r="BK20" s="340">
        <f t="shared" si="3"/>
        <v>162000</v>
      </c>
      <c r="BL20" s="340">
        <f t="shared" si="4"/>
        <v>100000</v>
      </c>
      <c r="BM20" s="340">
        <f t="shared" si="5"/>
        <v>0</v>
      </c>
      <c r="BN20" s="341">
        <f t="shared" si="13"/>
        <v>737200</v>
      </c>
      <c r="BO20" s="341">
        <f>(HLOOKUP($X20,'Inflation Adjustments'!$M$3:$BT$4,2,TRUE))*BI20</f>
        <v>64861.344928753722</v>
      </c>
      <c r="BP20" s="341">
        <f>(HLOOKUP($X20,'Inflation Adjustments'!$M$3:$BT$4,2,TRUE))*BJ20</f>
        <v>12972.268985750745</v>
      </c>
      <c r="BQ20" s="341">
        <f>(HLOOKUP($X20,'Inflation Adjustments'!$M$3:$BT$4,2,TRUE))*BK20</f>
        <v>26534.186561762886</v>
      </c>
      <c r="BR20" s="341">
        <f>(HLOOKUP($X20,'Inflation Adjustments'!$M$3:$BT$4,2,TRUE))*BL20</f>
        <v>16379.127507261041</v>
      </c>
      <c r="BS20" s="341">
        <f>(HLOOKUP($X20,'Inflation Adjustments'!$M$3:$BT$4,2,TRUE))*BM20</f>
        <v>0</v>
      </c>
      <c r="BT20" s="341">
        <f t="shared" si="14"/>
        <v>120746.9279835284</v>
      </c>
      <c r="BU20" s="448">
        <f t="shared" si="6"/>
        <v>49</v>
      </c>
      <c r="BV20" s="93" t="s">
        <v>179</v>
      </c>
      <c r="BW20" s="448">
        <f t="shared" si="7"/>
        <v>75</v>
      </c>
      <c r="BX20" s="448">
        <f t="shared" si="8"/>
        <v>25</v>
      </c>
      <c r="BY20" s="448">
        <f t="shared" si="9"/>
        <v>50</v>
      </c>
      <c r="BZ20" s="93">
        <v>60</v>
      </c>
      <c r="CA20" s="449">
        <v>0</v>
      </c>
      <c r="CB20" s="340">
        <f t="shared" si="15"/>
        <v>172.9635864766766</v>
      </c>
      <c r="CC20" s="340">
        <f t="shared" si="16"/>
        <v>1061.3674624705154</v>
      </c>
      <c r="CD20" s="340">
        <f t="shared" si="17"/>
        <v>327.58255014522081</v>
      </c>
      <c r="CE20" s="340">
        <f t="shared" si="18"/>
        <v>0</v>
      </c>
      <c r="CF20" s="340"/>
      <c r="CG20" s="449">
        <v>0</v>
      </c>
      <c r="CH20" s="340">
        <f t="shared" si="19"/>
        <v>8475.2157373571536</v>
      </c>
      <c r="CI20" s="340">
        <f t="shared" si="20"/>
        <v>26534.186561762886</v>
      </c>
      <c r="CJ20" s="340">
        <f t="shared" si="21"/>
        <v>16051.544957115819</v>
      </c>
      <c r="CK20" s="340">
        <f t="shared" si="22"/>
        <v>0</v>
      </c>
      <c r="CL20" s="341">
        <f t="shared" si="23"/>
        <v>51060.947256235857</v>
      </c>
      <c r="CM20" s="449">
        <v>0</v>
      </c>
      <c r="CN20" s="340">
        <f t="shared" si="24"/>
        <v>172.9635864766766</v>
      </c>
      <c r="CO20" s="340">
        <f t="shared" si="25"/>
        <v>0</v>
      </c>
      <c r="CP20" s="340">
        <f t="shared" si="26"/>
        <v>327.58255014522081</v>
      </c>
      <c r="CQ20" s="340">
        <f t="shared" si="27"/>
        <v>0</v>
      </c>
      <c r="CR20" s="341">
        <f t="shared" si="28"/>
        <v>500.5461366218974</v>
      </c>
      <c r="CS20" s="449">
        <v>0</v>
      </c>
      <c r="CT20" s="449">
        <v>0</v>
      </c>
      <c r="CU20" s="341">
        <f>(HLOOKUP($Z20,'Inflation Adjustments'!$M$3:$BT$4,2,TRUE))*BK20</f>
        <v>55903.529093312536</v>
      </c>
      <c r="CV20" s="449">
        <v>0</v>
      </c>
      <c r="CW20" s="449">
        <v>0</v>
      </c>
      <c r="CX20" s="341">
        <f t="shared" si="29"/>
        <v>55903.529093312536</v>
      </c>
      <c r="CY20" s="450">
        <v>0</v>
      </c>
      <c r="CZ20" s="450">
        <v>0</v>
      </c>
      <c r="DA20" s="340">
        <f t="shared" si="30"/>
        <v>2236.1411637325014</v>
      </c>
      <c r="DB20" s="450">
        <v>0</v>
      </c>
      <c r="DC20" s="450">
        <v>0</v>
      </c>
      <c r="DD20" s="341">
        <f t="shared" si="31"/>
        <v>2236.1411637325014</v>
      </c>
      <c r="DE20" s="91">
        <f t="shared" si="10"/>
        <v>31</v>
      </c>
      <c r="DF20" s="450">
        <v>0</v>
      </c>
      <c r="DG20" s="450">
        <v>0</v>
      </c>
      <c r="DH20" s="340">
        <f t="shared" si="11"/>
        <v>55903.529093312536</v>
      </c>
      <c r="DI20" s="450">
        <v>0</v>
      </c>
      <c r="DJ20" s="450">
        <v>0</v>
      </c>
      <c r="DK20" s="341">
        <f t="shared" si="32"/>
        <v>55903.529093312536</v>
      </c>
      <c r="DL20" s="450">
        <v>0</v>
      </c>
      <c r="DM20" s="450">
        <v>0</v>
      </c>
      <c r="DN20" s="449">
        <f t="shared" si="33"/>
        <v>0</v>
      </c>
      <c r="DO20" s="449">
        <v>0</v>
      </c>
      <c r="DP20" s="449">
        <v>0</v>
      </c>
      <c r="DQ20" s="450">
        <f t="shared" si="34"/>
        <v>0</v>
      </c>
    </row>
    <row r="21" spans="1:129" ht="40.5" customHeight="1" x14ac:dyDescent="0.3">
      <c r="A21" s="330" t="s">
        <v>1304</v>
      </c>
      <c r="B21" s="451" t="s">
        <v>806</v>
      </c>
      <c r="C21" s="318" t="s">
        <v>1255</v>
      </c>
      <c r="D21" s="318" t="s">
        <v>140</v>
      </c>
      <c r="E21" s="318" t="s">
        <v>718</v>
      </c>
      <c r="F21" s="318" t="s">
        <v>211</v>
      </c>
      <c r="G21" s="318" t="s">
        <v>724</v>
      </c>
      <c r="H21" s="318" t="s">
        <v>777</v>
      </c>
      <c r="I21" s="318" t="s">
        <v>778</v>
      </c>
      <c r="J21" s="318" t="s">
        <v>1219</v>
      </c>
      <c r="K21" s="318" t="s">
        <v>1220</v>
      </c>
      <c r="L21" s="318" t="s">
        <v>12</v>
      </c>
      <c r="M21" s="318" t="s">
        <v>11</v>
      </c>
      <c r="N21" s="318" t="s">
        <v>817</v>
      </c>
      <c r="O21" s="318" t="s">
        <v>814</v>
      </c>
      <c r="P21" s="318">
        <v>0</v>
      </c>
      <c r="Q21" s="318" t="s">
        <v>194</v>
      </c>
      <c r="R21" s="333">
        <v>1140</v>
      </c>
      <c r="S21" s="318" t="s">
        <v>194</v>
      </c>
      <c r="T21" s="318">
        <v>7.8</v>
      </c>
      <c r="U21" s="318">
        <v>60</v>
      </c>
      <c r="V21" s="318">
        <v>1973</v>
      </c>
      <c r="W21" s="318" t="s">
        <v>982</v>
      </c>
      <c r="X21" s="318">
        <f t="shared" si="35"/>
        <v>1973</v>
      </c>
      <c r="Y21" s="318" t="str">
        <f t="shared" si="36"/>
        <v>Actual</v>
      </c>
      <c r="Z21" s="318">
        <v>1992</v>
      </c>
      <c r="AA21" s="318" t="s">
        <v>801</v>
      </c>
      <c r="AB21" s="452">
        <f t="shared" si="37"/>
        <v>331264.35349722189</v>
      </c>
      <c r="AC21" s="318" t="s">
        <v>800</v>
      </c>
      <c r="AD21" s="511">
        <f t="shared" si="38"/>
        <v>261152.46304153255</v>
      </c>
      <c r="AE21" s="516">
        <f t="shared" si="39"/>
        <v>70111.890455689339</v>
      </c>
      <c r="AF21" s="511">
        <f t="shared" si="40"/>
        <v>1174.1082729284897</v>
      </c>
      <c r="AG21" s="516">
        <f t="shared" si="41"/>
        <v>68937.782182760857</v>
      </c>
      <c r="AH21" s="511">
        <f>HLOOKUP($C$1,'Inflation Adjustments'!$BI$3:$BT$4,2)*BN21</f>
        <v>1760640.8313374999</v>
      </c>
      <c r="AI21" s="511">
        <f>IF(AR21="In-Service",'Maintenace Cost Assumptions'!B$5*('Sealed Roads'!BK21+'Sealed Roads'!BL21+'Sealed Roads'!BM21),0)</f>
        <v>6281.4000000000005</v>
      </c>
      <c r="AJ21" s="318">
        <v>4</v>
      </c>
      <c r="AK21" s="318">
        <v>4</v>
      </c>
      <c r="AL21" s="318">
        <v>3</v>
      </c>
      <c r="AM21" s="318">
        <v>3</v>
      </c>
      <c r="AN21" s="318">
        <v>2</v>
      </c>
      <c r="AO21" s="318">
        <v>3</v>
      </c>
      <c r="AP21" s="332">
        <f>(AJ21*'Condition rating weights'!H$15+AK21*'Condition rating weights'!I$15+AL21*'Condition rating weights'!J$15+AM21*'Condition rating weights'!K$15+AN21*'Condition rating weights'!L$15+AO21*'Condition rating weights'!R$15)/100</f>
        <v>0.63</v>
      </c>
      <c r="AQ21" s="453"/>
      <c r="AR21" s="454" t="s">
        <v>1431</v>
      </c>
      <c r="BH21" s="91" t="str">
        <f t="shared" si="0"/>
        <v>SRDT-017</v>
      </c>
      <c r="BI21" s="340">
        <f t="shared" si="1"/>
        <v>355680</v>
      </c>
      <c r="BJ21" s="340">
        <f t="shared" si="2"/>
        <v>195624</v>
      </c>
      <c r="BK21" s="340">
        <f t="shared" si="3"/>
        <v>400140</v>
      </c>
      <c r="BL21" s="340">
        <f t="shared" si="4"/>
        <v>228000</v>
      </c>
      <c r="BM21" s="340">
        <f t="shared" si="5"/>
        <v>0</v>
      </c>
      <c r="BN21" s="341">
        <f t="shared" si="13"/>
        <v>1179444</v>
      </c>
      <c r="BO21" s="341">
        <f>(HLOOKUP($X21,'Inflation Adjustments'!$M$3:$BT$4,2,TRUE))*BI21</f>
        <v>58257.28071782607</v>
      </c>
      <c r="BP21" s="341">
        <f>(HLOOKUP($X21,'Inflation Adjustments'!$M$3:$BT$4,2,TRUE))*BJ21</f>
        <v>32041.504394804339</v>
      </c>
      <c r="BQ21" s="341">
        <f>(HLOOKUP($X21,'Inflation Adjustments'!$M$3:$BT$4,2,TRUE))*BK21</f>
        <v>65539.440807554332</v>
      </c>
      <c r="BR21" s="341">
        <f>(HLOOKUP($X21,'Inflation Adjustments'!$M$3:$BT$4,2,TRUE))*BL21</f>
        <v>37344.410716555169</v>
      </c>
      <c r="BS21" s="341">
        <f>(HLOOKUP($X21,'Inflation Adjustments'!$M$3:$BT$4,2,TRUE))*BM21</f>
        <v>0</v>
      </c>
      <c r="BT21" s="341">
        <f t="shared" si="14"/>
        <v>193182.63663673992</v>
      </c>
      <c r="BU21" s="448">
        <f t="shared" si="6"/>
        <v>49</v>
      </c>
      <c r="BV21" s="93" t="s">
        <v>179</v>
      </c>
      <c r="BW21" s="448">
        <f t="shared" si="7"/>
        <v>75</v>
      </c>
      <c r="BX21" s="448">
        <f t="shared" si="8"/>
        <v>25</v>
      </c>
      <c r="BY21" s="448">
        <f t="shared" si="9"/>
        <v>50</v>
      </c>
      <c r="BZ21" s="93">
        <v>60</v>
      </c>
      <c r="CA21" s="449">
        <v>0</v>
      </c>
      <c r="CB21" s="340">
        <f t="shared" si="15"/>
        <v>427.22005859739119</v>
      </c>
      <c r="CC21" s="340">
        <f t="shared" si="16"/>
        <v>2621.5776323021732</v>
      </c>
      <c r="CD21" s="340">
        <f t="shared" si="17"/>
        <v>746.88821433110343</v>
      </c>
      <c r="CE21" s="340">
        <f t="shared" si="18"/>
        <v>0</v>
      </c>
      <c r="CF21" s="340"/>
      <c r="CG21" s="449">
        <v>0</v>
      </c>
      <c r="CH21" s="340">
        <f t="shared" si="19"/>
        <v>20933.782871272168</v>
      </c>
      <c r="CI21" s="340">
        <f t="shared" si="20"/>
        <v>65539.440807554332</v>
      </c>
      <c r="CJ21" s="340">
        <f t="shared" si="21"/>
        <v>36597.52250222407</v>
      </c>
      <c r="CK21" s="340">
        <f t="shared" si="22"/>
        <v>0</v>
      </c>
      <c r="CL21" s="341">
        <f t="shared" si="23"/>
        <v>123070.74618105058</v>
      </c>
      <c r="CM21" s="449">
        <v>0</v>
      </c>
      <c r="CN21" s="340">
        <f t="shared" si="24"/>
        <v>427.22005859739119</v>
      </c>
      <c r="CO21" s="340">
        <f t="shared" si="25"/>
        <v>0</v>
      </c>
      <c r="CP21" s="340">
        <f t="shared" si="26"/>
        <v>746.88821433109842</v>
      </c>
      <c r="CQ21" s="340">
        <f t="shared" si="27"/>
        <v>0</v>
      </c>
      <c r="CR21" s="341">
        <f t="shared" si="28"/>
        <v>1174.1082729284897</v>
      </c>
      <c r="CS21" s="449">
        <v>0</v>
      </c>
      <c r="CT21" s="449">
        <v>0</v>
      </c>
      <c r="CU21" s="341">
        <f>(HLOOKUP($Z21,'Inflation Adjustments'!$M$3:$BT$4,2,TRUE))*BK21</f>
        <v>138081.71686048197</v>
      </c>
      <c r="CV21" s="449">
        <v>0</v>
      </c>
      <c r="CW21" s="449">
        <v>0</v>
      </c>
      <c r="CX21" s="341">
        <f t="shared" si="29"/>
        <v>138081.71686048197</v>
      </c>
      <c r="CY21" s="450">
        <v>0</v>
      </c>
      <c r="CZ21" s="450">
        <v>0</v>
      </c>
      <c r="DA21" s="340">
        <f t="shared" si="30"/>
        <v>5523.2686744192788</v>
      </c>
      <c r="DB21" s="450">
        <v>0</v>
      </c>
      <c r="DC21" s="450">
        <v>0</v>
      </c>
      <c r="DD21" s="341">
        <f t="shared" si="31"/>
        <v>5523.2686744192788</v>
      </c>
      <c r="DE21" s="91">
        <f t="shared" si="10"/>
        <v>31</v>
      </c>
      <c r="DF21" s="450">
        <v>0</v>
      </c>
      <c r="DG21" s="450">
        <v>0</v>
      </c>
      <c r="DH21" s="340">
        <f t="shared" si="11"/>
        <v>138081.71686048197</v>
      </c>
      <c r="DI21" s="450">
        <v>0</v>
      </c>
      <c r="DJ21" s="450">
        <v>0</v>
      </c>
      <c r="DK21" s="341">
        <f t="shared" si="32"/>
        <v>138081.71686048197</v>
      </c>
      <c r="DL21" s="450">
        <v>0</v>
      </c>
      <c r="DM21" s="450">
        <v>0</v>
      </c>
      <c r="DN21" s="449">
        <f t="shared" si="33"/>
        <v>0</v>
      </c>
      <c r="DO21" s="449">
        <v>0</v>
      </c>
      <c r="DP21" s="449">
        <v>0</v>
      </c>
      <c r="DQ21" s="450">
        <f t="shared" si="34"/>
        <v>0</v>
      </c>
    </row>
    <row r="22" spans="1:129" ht="40.5" customHeight="1" x14ac:dyDescent="0.3">
      <c r="A22" s="330" t="s">
        <v>1305</v>
      </c>
      <c r="B22" s="451" t="s">
        <v>807</v>
      </c>
      <c r="C22" s="318" t="s">
        <v>1255</v>
      </c>
      <c r="D22" s="318" t="s">
        <v>140</v>
      </c>
      <c r="E22" s="318" t="s">
        <v>718</v>
      </c>
      <c r="F22" s="318" t="s">
        <v>211</v>
      </c>
      <c r="G22" s="318" t="s">
        <v>725</v>
      </c>
      <c r="H22" s="318" t="s">
        <v>1219</v>
      </c>
      <c r="I22" s="318" t="s">
        <v>1220</v>
      </c>
      <c r="J22" s="318" t="s">
        <v>779</v>
      </c>
      <c r="K22" s="318" t="s">
        <v>780</v>
      </c>
      <c r="L22" s="318" t="s">
        <v>12</v>
      </c>
      <c r="M22" s="318" t="s">
        <v>11</v>
      </c>
      <c r="N22" s="318" t="s">
        <v>817</v>
      </c>
      <c r="O22" s="318" t="s">
        <v>814</v>
      </c>
      <c r="P22" s="318">
        <v>0</v>
      </c>
      <c r="Q22" s="318" t="s">
        <v>194</v>
      </c>
      <c r="R22" s="333">
        <v>650</v>
      </c>
      <c r="S22" s="318" t="s">
        <v>194</v>
      </c>
      <c r="T22" s="318">
        <v>9.8000000000000007</v>
      </c>
      <c r="U22" s="318">
        <v>60</v>
      </c>
      <c r="V22" s="318">
        <v>1973</v>
      </c>
      <c r="W22" s="318" t="s">
        <v>982</v>
      </c>
      <c r="X22" s="318">
        <f t="shared" si="35"/>
        <v>1973</v>
      </c>
      <c r="Y22" s="318" t="str">
        <f t="shared" si="36"/>
        <v>Actual</v>
      </c>
      <c r="Z22" s="318">
        <v>1992</v>
      </c>
      <c r="AA22" s="318" t="s">
        <v>801</v>
      </c>
      <c r="AB22" s="452">
        <f t="shared" si="37"/>
        <v>231849.54991518011</v>
      </c>
      <c r="AC22" s="318" t="s">
        <v>800</v>
      </c>
      <c r="AD22" s="511">
        <f t="shared" si="38"/>
        <v>181732.38982474932</v>
      </c>
      <c r="AE22" s="516">
        <f t="shared" si="39"/>
        <v>50117.160090430785</v>
      </c>
      <c r="AF22" s="511">
        <f t="shared" si="40"/>
        <v>731.90677237112845</v>
      </c>
      <c r="AG22" s="516">
        <f t="shared" si="41"/>
        <v>49385.253318059658</v>
      </c>
      <c r="AH22" s="511">
        <f>HLOOKUP($C$1,'Inflation Adjustments'!$BI$3:$BT$4,2)*BN22</f>
        <v>1211518.7260312499</v>
      </c>
      <c r="AI22" s="511">
        <f>IF(AR22="In-Service",'Maintenace Cost Assumptions'!B$5*('Sealed Roads'!BK22+'Sealed Roads'!BL22+'Sealed Roads'!BM22),0)</f>
        <v>4166.5</v>
      </c>
      <c r="AJ22" s="318">
        <v>4</v>
      </c>
      <c r="AK22" s="318">
        <v>4</v>
      </c>
      <c r="AL22" s="318">
        <v>3</v>
      </c>
      <c r="AM22" s="318">
        <v>3</v>
      </c>
      <c r="AN22" s="318">
        <v>2</v>
      </c>
      <c r="AO22" s="318">
        <v>3</v>
      </c>
      <c r="AP22" s="332">
        <f>(AJ22*'Condition rating weights'!H$15+AK22*'Condition rating weights'!I$15+AL22*'Condition rating weights'!J$15+AM22*'Condition rating weights'!K$15+AN22*'Condition rating weights'!L$15+AO22*'Condition rating weights'!R$15)/100</f>
        <v>0.63</v>
      </c>
      <c r="AQ22" s="453"/>
      <c r="AR22" s="454" t="s">
        <v>1431</v>
      </c>
      <c r="BH22" s="91" t="str">
        <f t="shared" si="0"/>
        <v>SRDT-018</v>
      </c>
      <c r="BI22" s="340">
        <f t="shared" si="1"/>
        <v>254800.00000000003</v>
      </c>
      <c r="BJ22" s="340">
        <f t="shared" si="2"/>
        <v>140140</v>
      </c>
      <c r="BK22" s="340">
        <f t="shared" si="3"/>
        <v>286650</v>
      </c>
      <c r="BL22" s="340">
        <f t="shared" si="4"/>
        <v>130000</v>
      </c>
      <c r="BM22" s="340">
        <f t="shared" si="5"/>
        <v>0</v>
      </c>
      <c r="BN22" s="341">
        <f t="shared" si="13"/>
        <v>811590</v>
      </c>
      <c r="BO22" s="341">
        <f>(HLOOKUP($X22,'Inflation Adjustments'!$M$3:$BT$4,2,TRUE))*BI22</f>
        <v>41734.016888501137</v>
      </c>
      <c r="BP22" s="341">
        <f>(HLOOKUP($X22,'Inflation Adjustments'!$M$3:$BT$4,2,TRUE))*BJ22</f>
        <v>22953.709288675622</v>
      </c>
      <c r="BQ22" s="341">
        <f>(HLOOKUP($X22,'Inflation Adjustments'!$M$3:$BT$4,2,TRUE))*BK22</f>
        <v>46950.76899956377</v>
      </c>
      <c r="BR22" s="341">
        <f>(HLOOKUP($X22,'Inflation Adjustments'!$M$3:$BT$4,2,TRUE))*BL22</f>
        <v>21292.865759439352</v>
      </c>
      <c r="BS22" s="341">
        <f>(HLOOKUP($X22,'Inflation Adjustments'!$M$3:$BT$4,2,TRUE))*BM22</f>
        <v>0</v>
      </c>
      <c r="BT22" s="341">
        <f t="shared" si="14"/>
        <v>132931.36093617987</v>
      </c>
      <c r="BU22" s="448">
        <f t="shared" si="6"/>
        <v>49</v>
      </c>
      <c r="BV22" s="93" t="s">
        <v>179</v>
      </c>
      <c r="BW22" s="448">
        <f t="shared" si="7"/>
        <v>75</v>
      </c>
      <c r="BX22" s="448">
        <f t="shared" si="8"/>
        <v>25</v>
      </c>
      <c r="BY22" s="448">
        <f t="shared" si="9"/>
        <v>50</v>
      </c>
      <c r="BZ22" s="93">
        <v>60</v>
      </c>
      <c r="CA22" s="449">
        <v>0</v>
      </c>
      <c r="CB22" s="340">
        <f t="shared" si="15"/>
        <v>306.04945718234165</v>
      </c>
      <c r="CC22" s="340">
        <f t="shared" si="16"/>
        <v>1878.0307599825508</v>
      </c>
      <c r="CD22" s="340">
        <f t="shared" si="17"/>
        <v>425.85731518878703</v>
      </c>
      <c r="CE22" s="340">
        <f t="shared" si="18"/>
        <v>0</v>
      </c>
      <c r="CF22" s="340"/>
      <c r="CG22" s="449">
        <v>0</v>
      </c>
      <c r="CH22" s="340">
        <f t="shared" si="19"/>
        <v>14996.42340193474</v>
      </c>
      <c r="CI22" s="340">
        <f t="shared" si="20"/>
        <v>46950.76899956377</v>
      </c>
      <c r="CJ22" s="340">
        <f t="shared" si="21"/>
        <v>20867.008444250565</v>
      </c>
      <c r="CK22" s="340">
        <f t="shared" si="22"/>
        <v>0</v>
      </c>
      <c r="CL22" s="341">
        <f t="shared" si="23"/>
        <v>82814.200845749074</v>
      </c>
      <c r="CM22" s="449">
        <v>0</v>
      </c>
      <c r="CN22" s="340">
        <f t="shared" si="24"/>
        <v>306.04945718234165</v>
      </c>
      <c r="CO22" s="340">
        <f t="shared" si="25"/>
        <v>0</v>
      </c>
      <c r="CP22" s="340">
        <f t="shared" si="26"/>
        <v>425.85731518878674</v>
      </c>
      <c r="CQ22" s="340">
        <f t="shared" si="27"/>
        <v>0</v>
      </c>
      <c r="CR22" s="341">
        <f t="shared" si="28"/>
        <v>731.90677237112845</v>
      </c>
      <c r="CS22" s="449">
        <v>0</v>
      </c>
      <c r="CT22" s="449">
        <v>0</v>
      </c>
      <c r="CU22" s="341">
        <f>(HLOOKUP($Z22,'Inflation Adjustments'!$M$3:$BT$4,2,TRUE))*BK22</f>
        <v>98918.188979000231</v>
      </c>
      <c r="CV22" s="449">
        <v>0</v>
      </c>
      <c r="CW22" s="449">
        <v>0</v>
      </c>
      <c r="CX22" s="341">
        <f t="shared" si="29"/>
        <v>98918.188979000231</v>
      </c>
      <c r="CY22" s="450">
        <v>0</v>
      </c>
      <c r="CZ22" s="450">
        <v>0</v>
      </c>
      <c r="DA22" s="340">
        <f t="shared" si="30"/>
        <v>3956.7275591600092</v>
      </c>
      <c r="DB22" s="450">
        <v>0</v>
      </c>
      <c r="DC22" s="450">
        <v>0</v>
      </c>
      <c r="DD22" s="341">
        <f t="shared" si="31"/>
        <v>3956.7275591600092</v>
      </c>
      <c r="DE22" s="91">
        <f t="shared" si="10"/>
        <v>31</v>
      </c>
      <c r="DF22" s="450">
        <v>0</v>
      </c>
      <c r="DG22" s="450">
        <v>0</v>
      </c>
      <c r="DH22" s="340">
        <f t="shared" si="11"/>
        <v>98918.188979000231</v>
      </c>
      <c r="DI22" s="450">
        <v>0</v>
      </c>
      <c r="DJ22" s="450">
        <v>0</v>
      </c>
      <c r="DK22" s="341">
        <f t="shared" si="32"/>
        <v>98918.188979000231</v>
      </c>
      <c r="DL22" s="450">
        <v>0</v>
      </c>
      <c r="DM22" s="450">
        <v>0</v>
      </c>
      <c r="DN22" s="449">
        <f t="shared" si="33"/>
        <v>0</v>
      </c>
      <c r="DO22" s="449">
        <v>0</v>
      </c>
      <c r="DP22" s="449">
        <v>0</v>
      </c>
      <c r="DQ22" s="450">
        <f t="shared" si="34"/>
        <v>0</v>
      </c>
    </row>
    <row r="23" spans="1:129" ht="30" customHeight="1" x14ac:dyDescent="0.3">
      <c r="A23" s="330" t="s">
        <v>1306</v>
      </c>
      <c r="B23" s="451" t="s">
        <v>781</v>
      </c>
      <c r="C23" s="318" t="s">
        <v>1255</v>
      </c>
      <c r="D23" s="318" t="s">
        <v>140</v>
      </c>
      <c r="E23" s="318" t="s">
        <v>718</v>
      </c>
      <c r="F23" s="318" t="s">
        <v>211</v>
      </c>
      <c r="G23" s="318" t="s">
        <v>782</v>
      </c>
      <c r="H23" s="318" t="s">
        <v>783</v>
      </c>
      <c r="I23" s="318" t="s">
        <v>784</v>
      </c>
      <c r="J23" s="318" t="s">
        <v>785</v>
      </c>
      <c r="K23" s="318" t="s">
        <v>786</v>
      </c>
      <c r="L23" s="318" t="s">
        <v>12</v>
      </c>
      <c r="M23" s="318" t="s">
        <v>11</v>
      </c>
      <c r="N23" s="318" t="s">
        <v>817</v>
      </c>
      <c r="O23" s="318" t="s">
        <v>814</v>
      </c>
      <c r="P23" s="318">
        <v>0</v>
      </c>
      <c r="Q23" s="318" t="s">
        <v>194</v>
      </c>
      <c r="R23" s="333">
        <v>1300</v>
      </c>
      <c r="S23" s="318" t="s">
        <v>194</v>
      </c>
      <c r="T23" s="318">
        <v>8.6</v>
      </c>
      <c r="U23" s="318">
        <v>60</v>
      </c>
      <c r="V23" s="318">
        <v>1973</v>
      </c>
      <c r="W23" s="318" t="s">
        <v>982</v>
      </c>
      <c r="X23" s="318">
        <f t="shared" si="35"/>
        <v>1973</v>
      </c>
      <c r="Y23" s="318" t="str">
        <f t="shared" si="36"/>
        <v>Actual</v>
      </c>
      <c r="Z23" s="318">
        <v>1992</v>
      </c>
      <c r="AA23" s="318" t="s">
        <v>801</v>
      </c>
      <c r="AB23" s="452">
        <f t="shared" si="37"/>
        <v>412134.19758813799</v>
      </c>
      <c r="AC23" s="318" t="s">
        <v>800</v>
      </c>
      <c r="AD23" s="511">
        <f t="shared" si="38"/>
        <v>324069.17604611116</v>
      </c>
      <c r="AE23" s="516">
        <f t="shared" si="39"/>
        <v>88065.021542026836</v>
      </c>
      <c r="AF23" s="511">
        <f t="shared" si="40"/>
        <v>1388.8626572690303</v>
      </c>
      <c r="AG23" s="516">
        <f t="shared" si="41"/>
        <v>86676.15888475781</v>
      </c>
      <c r="AH23" s="511">
        <f>HLOOKUP($C$1,'Inflation Adjustments'!$BI$3:$BT$4,2)*BN23</f>
        <v>2173863.9706874997</v>
      </c>
      <c r="AI23" s="511">
        <f>IF(AR23="In-Service",'Maintenace Cost Assumptions'!B$5*('Sealed Roads'!BK23+'Sealed Roads'!BL23+'Sealed Roads'!BM23),0)</f>
        <v>7631</v>
      </c>
      <c r="AJ23" s="318">
        <v>4</v>
      </c>
      <c r="AK23" s="318">
        <v>3</v>
      </c>
      <c r="AL23" s="318">
        <v>2</v>
      </c>
      <c r="AM23" s="318">
        <v>2</v>
      </c>
      <c r="AN23" s="318">
        <v>3</v>
      </c>
      <c r="AO23" s="318">
        <v>2</v>
      </c>
      <c r="AP23" s="332">
        <f>(AJ23*'Condition rating weights'!H$15+AK23*'Condition rating weights'!I$15+AL23*'Condition rating weights'!J$15+AM23*'Condition rating weights'!K$15+AN23*'Condition rating weights'!L$15+AO23*'Condition rating weights'!R$15)/100</f>
        <v>0.48</v>
      </c>
      <c r="AQ23" s="453"/>
      <c r="AR23" s="454" t="s">
        <v>1431</v>
      </c>
      <c r="BH23" s="91" t="str">
        <f t="shared" si="0"/>
        <v>SRDT-019</v>
      </c>
      <c r="BI23" s="340">
        <f t="shared" si="1"/>
        <v>447200</v>
      </c>
      <c r="BJ23" s="340">
        <f t="shared" si="2"/>
        <v>245960</v>
      </c>
      <c r="BK23" s="340">
        <f t="shared" si="3"/>
        <v>503100</v>
      </c>
      <c r="BL23" s="340">
        <f t="shared" si="4"/>
        <v>260000</v>
      </c>
      <c r="BM23" s="340">
        <f t="shared" si="5"/>
        <v>0</v>
      </c>
      <c r="BN23" s="341">
        <f t="shared" si="13"/>
        <v>1456260</v>
      </c>
      <c r="BO23" s="341">
        <f>(HLOOKUP($X23,'Inflation Adjustments'!$M$3:$BT$4,2,TRUE))*BI23</f>
        <v>73247.458212471378</v>
      </c>
      <c r="BP23" s="341">
        <f>(HLOOKUP($X23,'Inflation Adjustments'!$M$3:$BT$4,2,TRUE))*BJ23</f>
        <v>40286.102016859251</v>
      </c>
      <c r="BQ23" s="341">
        <f>(HLOOKUP($X23,'Inflation Adjustments'!$M$3:$BT$4,2,TRUE))*BK23</f>
        <v>82403.390489030295</v>
      </c>
      <c r="BR23" s="341">
        <f>(HLOOKUP($X23,'Inflation Adjustments'!$M$3:$BT$4,2,TRUE))*BL23</f>
        <v>42585.731518878703</v>
      </c>
      <c r="BS23" s="341">
        <f>(HLOOKUP($X23,'Inflation Adjustments'!$M$3:$BT$4,2,TRUE))*BM23</f>
        <v>0</v>
      </c>
      <c r="BT23" s="341">
        <f t="shared" si="14"/>
        <v>238522.68223723961</v>
      </c>
      <c r="BU23" s="448">
        <f t="shared" si="6"/>
        <v>49</v>
      </c>
      <c r="BV23" s="93" t="s">
        <v>179</v>
      </c>
      <c r="BW23" s="448">
        <f t="shared" si="7"/>
        <v>75</v>
      </c>
      <c r="BX23" s="448">
        <f t="shared" si="8"/>
        <v>25</v>
      </c>
      <c r="BY23" s="448">
        <f t="shared" si="9"/>
        <v>50</v>
      </c>
      <c r="BZ23" s="93">
        <v>60</v>
      </c>
      <c r="CA23" s="449">
        <v>0</v>
      </c>
      <c r="CB23" s="340">
        <f t="shared" si="15"/>
        <v>537.14802689145677</v>
      </c>
      <c r="CC23" s="340">
        <f t="shared" si="16"/>
        <v>3296.135619561212</v>
      </c>
      <c r="CD23" s="340">
        <f t="shared" si="17"/>
        <v>851.71463037757405</v>
      </c>
      <c r="CE23" s="340">
        <f t="shared" si="18"/>
        <v>0</v>
      </c>
      <c r="CF23" s="340"/>
      <c r="CG23" s="449">
        <v>0</v>
      </c>
      <c r="CH23" s="340">
        <f t="shared" si="19"/>
        <v>26320.253317681381</v>
      </c>
      <c r="CI23" s="340">
        <f t="shared" si="20"/>
        <v>82403.390489030295</v>
      </c>
      <c r="CJ23" s="340">
        <f t="shared" si="21"/>
        <v>41734.01688850113</v>
      </c>
      <c r="CK23" s="340">
        <f t="shared" si="22"/>
        <v>0</v>
      </c>
      <c r="CL23" s="341">
        <f t="shared" si="23"/>
        <v>150457.66069521281</v>
      </c>
      <c r="CM23" s="449">
        <v>0</v>
      </c>
      <c r="CN23" s="340">
        <f t="shared" si="24"/>
        <v>537.14802689145677</v>
      </c>
      <c r="CO23" s="340">
        <f t="shared" si="25"/>
        <v>0</v>
      </c>
      <c r="CP23" s="340">
        <f t="shared" si="26"/>
        <v>851.71463037757349</v>
      </c>
      <c r="CQ23" s="340">
        <f t="shared" si="27"/>
        <v>0</v>
      </c>
      <c r="CR23" s="341">
        <f t="shared" si="28"/>
        <v>1388.8626572690303</v>
      </c>
      <c r="CS23" s="449">
        <v>0</v>
      </c>
      <c r="CT23" s="449">
        <v>0</v>
      </c>
      <c r="CU23" s="341">
        <f>(HLOOKUP($Z23,'Inflation Adjustments'!$M$3:$BT$4,2,TRUE))*BK23</f>
        <v>173611.51535089838</v>
      </c>
      <c r="CV23" s="449">
        <v>0</v>
      </c>
      <c r="CW23" s="449">
        <v>0</v>
      </c>
      <c r="CX23" s="341">
        <f t="shared" si="29"/>
        <v>173611.51535089838</v>
      </c>
      <c r="CY23" s="450">
        <v>0</v>
      </c>
      <c r="CZ23" s="450">
        <v>0</v>
      </c>
      <c r="DA23" s="340">
        <f t="shared" si="30"/>
        <v>6944.4606140359356</v>
      </c>
      <c r="DB23" s="450">
        <v>0</v>
      </c>
      <c r="DC23" s="450">
        <v>0</v>
      </c>
      <c r="DD23" s="341">
        <f t="shared" si="31"/>
        <v>6944.4606140359356</v>
      </c>
      <c r="DE23" s="91">
        <f t="shared" si="10"/>
        <v>31</v>
      </c>
      <c r="DF23" s="450">
        <v>0</v>
      </c>
      <c r="DG23" s="450">
        <v>0</v>
      </c>
      <c r="DH23" s="340">
        <f t="shared" si="11"/>
        <v>173611.51535089838</v>
      </c>
      <c r="DI23" s="450">
        <v>0</v>
      </c>
      <c r="DJ23" s="450">
        <v>0</v>
      </c>
      <c r="DK23" s="341">
        <f t="shared" si="32"/>
        <v>173611.51535089838</v>
      </c>
      <c r="DL23" s="450">
        <v>0</v>
      </c>
      <c r="DM23" s="450">
        <v>0</v>
      </c>
      <c r="DN23" s="449">
        <f t="shared" si="33"/>
        <v>0</v>
      </c>
      <c r="DO23" s="449">
        <v>0</v>
      </c>
      <c r="DP23" s="449">
        <v>0</v>
      </c>
      <c r="DQ23" s="450">
        <f t="shared" si="34"/>
        <v>0</v>
      </c>
    </row>
    <row r="24" spans="1:129" ht="30" customHeight="1" x14ac:dyDescent="0.3">
      <c r="A24" s="330" t="s">
        <v>1307</v>
      </c>
      <c r="B24" s="451" t="s">
        <v>787</v>
      </c>
      <c r="C24" s="318" t="s">
        <v>1255</v>
      </c>
      <c r="D24" s="318" t="s">
        <v>140</v>
      </c>
      <c r="E24" s="318" t="s">
        <v>718</v>
      </c>
      <c r="F24" s="318" t="s">
        <v>211</v>
      </c>
      <c r="G24" s="318" t="s">
        <v>727</v>
      </c>
      <c r="H24" s="318" t="s">
        <v>788</v>
      </c>
      <c r="I24" s="318" t="s">
        <v>789</v>
      </c>
      <c r="J24" s="318" t="s">
        <v>790</v>
      </c>
      <c r="K24" s="318" t="s">
        <v>791</v>
      </c>
      <c r="L24" s="318" t="s">
        <v>184</v>
      </c>
      <c r="M24" s="318" t="s">
        <v>11</v>
      </c>
      <c r="N24" s="318" t="s">
        <v>817</v>
      </c>
      <c r="O24" s="318" t="s">
        <v>814</v>
      </c>
      <c r="P24" s="318">
        <v>0</v>
      </c>
      <c r="Q24" s="318" t="s">
        <v>194</v>
      </c>
      <c r="R24" s="333">
        <v>300</v>
      </c>
      <c r="S24" s="318" t="s">
        <v>194</v>
      </c>
      <c r="T24" s="318">
        <v>6.3</v>
      </c>
      <c r="U24" s="318">
        <v>60</v>
      </c>
      <c r="V24" s="318">
        <v>1973</v>
      </c>
      <c r="W24" s="318" t="s">
        <v>982</v>
      </c>
      <c r="X24" s="318">
        <f t="shared" si="35"/>
        <v>1973</v>
      </c>
      <c r="Y24" s="318" t="str">
        <f t="shared" si="36"/>
        <v>Actual</v>
      </c>
      <c r="Z24" s="318">
        <v>1992</v>
      </c>
      <c r="AA24" s="318" t="s">
        <v>801</v>
      </c>
      <c r="AB24" s="452">
        <f t="shared" si="37"/>
        <v>93969.924528386066</v>
      </c>
      <c r="AC24" s="318" t="s">
        <v>800</v>
      </c>
      <c r="AD24" s="511">
        <f t="shared" si="38"/>
        <v>57360.21595529659</v>
      </c>
      <c r="AE24" s="516">
        <f t="shared" si="39"/>
        <v>36609.708573089476</v>
      </c>
      <c r="AF24" s="511">
        <f t="shared" si="40"/>
        <v>287.35541298738684</v>
      </c>
      <c r="AG24" s="516">
        <f t="shared" si="41"/>
        <v>36322.353160102088</v>
      </c>
      <c r="AH24" s="511">
        <f>HLOOKUP($C$1,'Inflation Adjustments'!$BI$3:$BT$4,2)*BN24</f>
        <v>588943.28784374997</v>
      </c>
      <c r="AI24" s="511">
        <f>IF(AR24="In-Service",'Maintenace Cost Assumptions'!B$5*('Sealed Roads'!BK24+'Sealed Roads'!BL24+'Sealed Roads'!BM24),0)</f>
        <v>1450.5</v>
      </c>
      <c r="AJ24" s="318">
        <v>4</v>
      </c>
      <c r="AK24" s="318">
        <v>3</v>
      </c>
      <c r="AL24" s="318">
        <v>2</v>
      </c>
      <c r="AM24" s="318">
        <v>2</v>
      </c>
      <c r="AN24" s="318">
        <v>3</v>
      </c>
      <c r="AO24" s="318">
        <v>2</v>
      </c>
      <c r="AP24" s="332">
        <f>(AJ24*'Condition rating weights'!H$15+AK24*'Condition rating weights'!I$15+AL24*'Condition rating weights'!J$15+AM24*'Condition rating weights'!K$15+AN24*'Condition rating weights'!L$15+AO24*'Condition rating weights'!R$15)/100</f>
        <v>0.48</v>
      </c>
      <c r="AQ24" s="453"/>
      <c r="AR24" s="454" t="s">
        <v>1431</v>
      </c>
      <c r="BH24" s="91" t="str">
        <f t="shared" si="0"/>
        <v>SRDT-020</v>
      </c>
      <c r="BI24" s="340">
        <f t="shared" si="1"/>
        <v>207900</v>
      </c>
      <c r="BJ24" s="340">
        <f t="shared" si="2"/>
        <v>41580</v>
      </c>
      <c r="BK24" s="340">
        <f t="shared" si="3"/>
        <v>85050</v>
      </c>
      <c r="BL24" s="340">
        <f t="shared" si="4"/>
        <v>60000</v>
      </c>
      <c r="BM24" s="340">
        <f t="shared" si="5"/>
        <v>0</v>
      </c>
      <c r="BN24" s="341">
        <f t="shared" si="13"/>
        <v>394530</v>
      </c>
      <c r="BO24" s="341">
        <f>(HLOOKUP($X24,'Inflation Adjustments'!$M$3:$BT$4,2,TRUE))*BI24</f>
        <v>34052.206087595703</v>
      </c>
      <c r="BP24" s="341">
        <f>(HLOOKUP($X24,'Inflation Adjustments'!$M$3:$BT$4,2,TRUE))*BJ24</f>
        <v>6810.441217519141</v>
      </c>
      <c r="BQ24" s="341">
        <f>(HLOOKUP($X24,'Inflation Adjustments'!$M$3:$BT$4,2,TRUE))*BK24</f>
        <v>13930.447944925514</v>
      </c>
      <c r="BR24" s="341">
        <f>(HLOOKUP($X24,'Inflation Adjustments'!$M$3:$BT$4,2,TRUE))*BL24</f>
        <v>9827.476504356624</v>
      </c>
      <c r="BS24" s="341">
        <f>(HLOOKUP($X24,'Inflation Adjustments'!$M$3:$BT$4,2,TRUE))*BM24</f>
        <v>0</v>
      </c>
      <c r="BT24" s="341">
        <f t="shared" si="14"/>
        <v>64620.57175439698</v>
      </c>
      <c r="BU24" s="448">
        <f t="shared" si="6"/>
        <v>49</v>
      </c>
      <c r="BV24" s="93" t="s">
        <v>179</v>
      </c>
      <c r="BW24" s="448">
        <f t="shared" si="7"/>
        <v>75</v>
      </c>
      <c r="BX24" s="448">
        <f t="shared" si="8"/>
        <v>25</v>
      </c>
      <c r="BY24" s="448">
        <f t="shared" si="9"/>
        <v>50</v>
      </c>
      <c r="BZ24" s="93">
        <v>60</v>
      </c>
      <c r="CA24" s="449">
        <v>0</v>
      </c>
      <c r="CB24" s="340">
        <f t="shared" si="15"/>
        <v>90.805882900255213</v>
      </c>
      <c r="CC24" s="340">
        <f t="shared" si="16"/>
        <v>557.21791779702062</v>
      </c>
      <c r="CD24" s="340">
        <f t="shared" si="17"/>
        <v>196.5495300871325</v>
      </c>
      <c r="CE24" s="340">
        <f t="shared" si="18"/>
        <v>0</v>
      </c>
      <c r="CF24" s="340"/>
      <c r="CG24" s="449">
        <v>0</v>
      </c>
      <c r="CH24" s="340">
        <f t="shared" si="19"/>
        <v>4449.4882621125053</v>
      </c>
      <c r="CI24" s="340">
        <f t="shared" si="20"/>
        <v>13930.447944925514</v>
      </c>
      <c r="CJ24" s="340">
        <f t="shared" si="21"/>
        <v>9630.9269742694923</v>
      </c>
      <c r="CK24" s="340">
        <f t="shared" si="22"/>
        <v>0</v>
      </c>
      <c r="CL24" s="341">
        <f t="shared" si="23"/>
        <v>28010.863181307512</v>
      </c>
      <c r="CM24" s="449">
        <v>0</v>
      </c>
      <c r="CN24" s="340">
        <f t="shared" si="24"/>
        <v>90.805882900255213</v>
      </c>
      <c r="CO24" s="340">
        <f t="shared" si="25"/>
        <v>0</v>
      </c>
      <c r="CP24" s="340">
        <f t="shared" si="26"/>
        <v>196.54953008713164</v>
      </c>
      <c r="CQ24" s="340">
        <f t="shared" si="27"/>
        <v>0</v>
      </c>
      <c r="CR24" s="341">
        <f t="shared" si="28"/>
        <v>287.35541298738684</v>
      </c>
      <c r="CS24" s="449">
        <v>0</v>
      </c>
      <c r="CT24" s="449">
        <v>0</v>
      </c>
      <c r="CU24" s="341">
        <f>(HLOOKUP($Z24,'Inflation Adjustments'!$M$3:$BT$4,2,TRUE))*BK24</f>
        <v>29349.352773989081</v>
      </c>
      <c r="CV24" s="449">
        <v>0</v>
      </c>
      <c r="CW24" s="449">
        <v>0</v>
      </c>
      <c r="CX24" s="341">
        <f t="shared" si="29"/>
        <v>29349.352773989081</v>
      </c>
      <c r="CY24" s="450">
        <v>0</v>
      </c>
      <c r="CZ24" s="450">
        <v>0</v>
      </c>
      <c r="DA24" s="340">
        <f t="shared" si="30"/>
        <v>1173.9741109595632</v>
      </c>
      <c r="DB24" s="450">
        <v>0</v>
      </c>
      <c r="DC24" s="450">
        <v>0</v>
      </c>
      <c r="DD24" s="341">
        <f t="shared" si="31"/>
        <v>1173.9741109595632</v>
      </c>
      <c r="DE24" s="91">
        <f t="shared" si="10"/>
        <v>31</v>
      </c>
      <c r="DF24" s="450">
        <v>0</v>
      </c>
      <c r="DG24" s="450">
        <v>0</v>
      </c>
      <c r="DH24" s="340">
        <f t="shared" si="11"/>
        <v>29349.352773989081</v>
      </c>
      <c r="DI24" s="450">
        <v>0</v>
      </c>
      <c r="DJ24" s="450">
        <v>0</v>
      </c>
      <c r="DK24" s="341">
        <f t="shared" si="32"/>
        <v>29349.352773989081</v>
      </c>
      <c r="DL24" s="450">
        <v>0</v>
      </c>
      <c r="DM24" s="450">
        <v>0</v>
      </c>
      <c r="DN24" s="449">
        <f t="shared" si="33"/>
        <v>0</v>
      </c>
      <c r="DO24" s="449">
        <v>0</v>
      </c>
      <c r="DP24" s="449">
        <v>0</v>
      </c>
      <c r="DQ24" s="450">
        <f t="shared" si="34"/>
        <v>0</v>
      </c>
    </row>
    <row r="25" spans="1:129" ht="30" customHeight="1" x14ac:dyDescent="0.3">
      <c r="A25" s="330" t="s">
        <v>1308</v>
      </c>
      <c r="B25" s="451" t="s">
        <v>792</v>
      </c>
      <c r="C25" s="318" t="s">
        <v>1255</v>
      </c>
      <c r="D25" s="318" t="s">
        <v>140</v>
      </c>
      <c r="E25" s="318" t="s">
        <v>718</v>
      </c>
      <c r="F25" s="318" t="s">
        <v>211</v>
      </c>
      <c r="G25" s="318" t="s">
        <v>726</v>
      </c>
      <c r="H25" s="318" t="s">
        <v>794</v>
      </c>
      <c r="I25" s="318" t="s">
        <v>795</v>
      </c>
      <c r="J25" s="318" t="s">
        <v>793</v>
      </c>
      <c r="K25" s="318" t="s">
        <v>796</v>
      </c>
      <c r="L25" s="318" t="s">
        <v>12</v>
      </c>
      <c r="M25" s="318" t="s">
        <v>11</v>
      </c>
      <c r="N25" s="318" t="s">
        <v>817</v>
      </c>
      <c r="O25" s="318" t="s">
        <v>814</v>
      </c>
      <c r="P25" s="318">
        <v>0</v>
      </c>
      <c r="Q25" s="318" t="s">
        <v>194</v>
      </c>
      <c r="R25" s="333">
        <v>900</v>
      </c>
      <c r="S25" s="318" t="s">
        <v>194</v>
      </c>
      <c r="T25" s="318">
        <v>9.1</v>
      </c>
      <c r="U25" s="318">
        <v>60</v>
      </c>
      <c r="V25" s="318">
        <v>1973</v>
      </c>
      <c r="W25" s="318" t="s">
        <v>982</v>
      </c>
      <c r="X25" s="318">
        <f t="shared" si="35"/>
        <v>1973</v>
      </c>
      <c r="Y25" s="318" t="str">
        <f t="shared" si="36"/>
        <v>Actual</v>
      </c>
      <c r="Z25" s="318">
        <v>1992</v>
      </c>
      <c r="AA25" s="318" t="s">
        <v>801</v>
      </c>
      <c r="AB25" s="452">
        <f t="shared" si="37"/>
        <v>300198.16628473654</v>
      </c>
      <c r="AC25" s="318" t="s">
        <v>800</v>
      </c>
      <c r="AD25" s="511">
        <f t="shared" si="38"/>
        <v>235719.69984059257</v>
      </c>
      <c r="AE25" s="516">
        <f t="shared" si="39"/>
        <v>64478.466444143967</v>
      </c>
      <c r="AF25" s="511">
        <f t="shared" si="40"/>
        <v>983.14074949583232</v>
      </c>
      <c r="AG25" s="516">
        <f t="shared" si="41"/>
        <v>63495.325694648134</v>
      </c>
      <c r="AH25" s="511">
        <f>HLOOKUP($C$1,'Inflation Adjustments'!$BI$3:$BT$4,2)*BN25</f>
        <v>1576859.7147187497</v>
      </c>
      <c r="AI25" s="511">
        <f>IF(AR25="In-Service",'Maintenace Cost Assumptions'!B$5*('Sealed Roads'!BK25+'Sealed Roads'!BL25+'Sealed Roads'!BM25),0)</f>
        <v>5485.5</v>
      </c>
      <c r="AJ25" s="318">
        <v>4</v>
      </c>
      <c r="AK25" s="318">
        <v>3</v>
      </c>
      <c r="AL25" s="318">
        <v>2</v>
      </c>
      <c r="AM25" s="318">
        <v>2</v>
      </c>
      <c r="AN25" s="318">
        <v>3</v>
      </c>
      <c r="AO25" s="318">
        <v>2</v>
      </c>
      <c r="AP25" s="332">
        <f>(AJ25*'Condition rating weights'!H$15+AK25*'Condition rating weights'!I$15+AL25*'Condition rating weights'!J$15+AM25*'Condition rating weights'!K$15+AN25*'Condition rating weights'!L$15+AO25*'Condition rating weights'!R$15)/100</f>
        <v>0.48</v>
      </c>
      <c r="AQ25" s="453"/>
      <c r="AR25" s="454" t="s">
        <v>1431</v>
      </c>
      <c r="BH25" s="91" t="str">
        <f t="shared" si="0"/>
        <v>SRDT-021</v>
      </c>
      <c r="BI25" s="340">
        <f t="shared" si="1"/>
        <v>327600</v>
      </c>
      <c r="BJ25" s="340">
        <f t="shared" si="2"/>
        <v>180180</v>
      </c>
      <c r="BK25" s="340">
        <f t="shared" si="3"/>
        <v>368550</v>
      </c>
      <c r="BL25" s="340">
        <f t="shared" si="4"/>
        <v>180000</v>
      </c>
      <c r="BM25" s="340">
        <f t="shared" si="5"/>
        <v>0</v>
      </c>
      <c r="BN25" s="341">
        <f t="shared" si="13"/>
        <v>1056330</v>
      </c>
      <c r="BO25" s="341">
        <f>(HLOOKUP($X25,'Inflation Adjustments'!$M$3:$BT$4,2,TRUE))*BI25</f>
        <v>53658.021713787166</v>
      </c>
      <c r="BP25" s="341">
        <f>(HLOOKUP($X25,'Inflation Adjustments'!$M$3:$BT$4,2,TRUE))*BJ25</f>
        <v>29511.911942582941</v>
      </c>
      <c r="BQ25" s="341">
        <f>(HLOOKUP($X25,'Inflation Adjustments'!$M$3:$BT$4,2,TRUE))*BK25</f>
        <v>60365.274428010562</v>
      </c>
      <c r="BR25" s="341">
        <f>(HLOOKUP($X25,'Inflation Adjustments'!$M$3:$BT$4,2,TRUE))*BL25</f>
        <v>29482.429513069874</v>
      </c>
      <c r="BS25" s="341">
        <f>(HLOOKUP($X25,'Inflation Adjustments'!$M$3:$BT$4,2,TRUE))*BM25</f>
        <v>0</v>
      </c>
      <c r="BT25" s="341">
        <f t="shared" si="14"/>
        <v>173017.63759745052</v>
      </c>
      <c r="BU25" s="448">
        <f t="shared" si="6"/>
        <v>49</v>
      </c>
      <c r="BV25" s="93" t="s">
        <v>179</v>
      </c>
      <c r="BW25" s="448">
        <f t="shared" si="7"/>
        <v>75</v>
      </c>
      <c r="BX25" s="448">
        <f t="shared" si="8"/>
        <v>25</v>
      </c>
      <c r="BY25" s="448">
        <f t="shared" si="9"/>
        <v>50</v>
      </c>
      <c r="BZ25" s="93">
        <v>60</v>
      </c>
      <c r="CA25" s="449">
        <v>0</v>
      </c>
      <c r="CB25" s="340">
        <f t="shared" si="15"/>
        <v>393.49215923443921</v>
      </c>
      <c r="CC25" s="340">
        <f t="shared" si="16"/>
        <v>2414.6109771204224</v>
      </c>
      <c r="CD25" s="340">
        <f t="shared" si="17"/>
        <v>589.64859026139754</v>
      </c>
      <c r="CE25" s="340">
        <f t="shared" si="18"/>
        <v>0</v>
      </c>
      <c r="CF25" s="340"/>
      <c r="CG25" s="449">
        <v>0</v>
      </c>
      <c r="CH25" s="340">
        <f t="shared" si="19"/>
        <v>19281.115802487522</v>
      </c>
      <c r="CI25" s="340">
        <f t="shared" si="20"/>
        <v>60365.274428010562</v>
      </c>
      <c r="CJ25" s="340">
        <f t="shared" si="21"/>
        <v>28892.780922808481</v>
      </c>
      <c r="CK25" s="340">
        <f t="shared" si="22"/>
        <v>0</v>
      </c>
      <c r="CL25" s="341">
        <f t="shared" si="23"/>
        <v>108539.17115330657</v>
      </c>
      <c r="CM25" s="449">
        <v>0</v>
      </c>
      <c r="CN25" s="340">
        <f t="shared" si="24"/>
        <v>393.49215923443921</v>
      </c>
      <c r="CO25" s="340">
        <f t="shared" si="25"/>
        <v>0</v>
      </c>
      <c r="CP25" s="340">
        <f t="shared" si="26"/>
        <v>589.64859026139311</v>
      </c>
      <c r="CQ25" s="340">
        <f t="shared" si="27"/>
        <v>0</v>
      </c>
      <c r="CR25" s="341">
        <f t="shared" si="28"/>
        <v>983.14074949583232</v>
      </c>
      <c r="CS25" s="449">
        <v>0</v>
      </c>
      <c r="CT25" s="449">
        <v>0</v>
      </c>
      <c r="CU25" s="341">
        <f>(HLOOKUP($Z25,'Inflation Adjustments'!$M$3:$BT$4,2,TRUE))*BK25</f>
        <v>127180.52868728602</v>
      </c>
      <c r="CV25" s="449">
        <v>0</v>
      </c>
      <c r="CW25" s="449">
        <v>0</v>
      </c>
      <c r="CX25" s="341">
        <f t="shared" si="29"/>
        <v>127180.52868728602</v>
      </c>
      <c r="CY25" s="450">
        <v>0</v>
      </c>
      <c r="CZ25" s="450">
        <v>0</v>
      </c>
      <c r="DA25" s="340">
        <f t="shared" si="30"/>
        <v>5087.2211474914411</v>
      </c>
      <c r="DB25" s="450">
        <v>0</v>
      </c>
      <c r="DC25" s="450">
        <v>0</v>
      </c>
      <c r="DD25" s="341">
        <f t="shared" si="31"/>
        <v>5087.2211474914411</v>
      </c>
      <c r="DE25" s="91">
        <f t="shared" si="10"/>
        <v>31</v>
      </c>
      <c r="DF25" s="450">
        <v>0</v>
      </c>
      <c r="DG25" s="450">
        <v>0</v>
      </c>
      <c r="DH25" s="340">
        <f t="shared" si="11"/>
        <v>127180.52868728602</v>
      </c>
      <c r="DI25" s="450">
        <v>0</v>
      </c>
      <c r="DJ25" s="450">
        <v>0</v>
      </c>
      <c r="DK25" s="341">
        <f t="shared" si="32"/>
        <v>127180.52868728602</v>
      </c>
      <c r="DL25" s="450">
        <v>0</v>
      </c>
      <c r="DM25" s="450">
        <v>0</v>
      </c>
      <c r="DN25" s="449">
        <f t="shared" si="33"/>
        <v>0</v>
      </c>
      <c r="DO25" s="449">
        <v>0</v>
      </c>
      <c r="DP25" s="449">
        <v>0</v>
      </c>
      <c r="DQ25" s="450">
        <f t="shared" si="34"/>
        <v>0</v>
      </c>
    </row>
    <row r="26" spans="1:129" ht="30" customHeight="1" x14ac:dyDescent="0.3">
      <c r="A26" s="330" t="s">
        <v>1309</v>
      </c>
      <c r="B26" s="451" t="s">
        <v>797</v>
      </c>
      <c r="C26" s="318" t="s">
        <v>1255</v>
      </c>
      <c r="D26" s="318" t="s">
        <v>140</v>
      </c>
      <c r="E26" s="318" t="s">
        <v>718</v>
      </c>
      <c r="F26" s="318" t="s">
        <v>211</v>
      </c>
      <c r="G26" s="318" t="s">
        <v>725</v>
      </c>
      <c r="H26" s="318" t="s">
        <v>798</v>
      </c>
      <c r="I26" s="318" t="s">
        <v>799</v>
      </c>
      <c r="J26" s="318" t="s">
        <v>1359</v>
      </c>
      <c r="K26" s="318" t="s">
        <v>1360</v>
      </c>
      <c r="L26" s="318" t="s">
        <v>12</v>
      </c>
      <c r="M26" s="318" t="s">
        <v>11</v>
      </c>
      <c r="N26" s="318" t="s">
        <v>818</v>
      </c>
      <c r="O26" s="318" t="s">
        <v>117</v>
      </c>
      <c r="P26" s="318">
        <v>0</v>
      </c>
      <c r="Q26" s="318" t="s">
        <v>194</v>
      </c>
      <c r="R26" s="333">
        <v>315</v>
      </c>
      <c r="S26" s="318" t="s">
        <v>194</v>
      </c>
      <c r="T26" s="318">
        <v>6.1</v>
      </c>
      <c r="U26" s="318">
        <v>60</v>
      </c>
      <c r="V26" s="318">
        <v>1973</v>
      </c>
      <c r="W26" s="318" t="s">
        <v>982</v>
      </c>
      <c r="X26" s="318">
        <f t="shared" si="35"/>
        <v>1973</v>
      </c>
      <c r="Y26" s="318" t="str">
        <f t="shared" si="36"/>
        <v>Actual</v>
      </c>
      <c r="Z26" s="318">
        <v>1992</v>
      </c>
      <c r="AA26" s="318" t="s">
        <v>801</v>
      </c>
      <c r="AB26" s="452">
        <f t="shared" si="37"/>
        <v>48847.033127156305</v>
      </c>
      <c r="AC26" s="318" t="s">
        <v>800</v>
      </c>
      <c r="AD26" s="511">
        <f t="shared" si="38"/>
        <v>33857.733553745384</v>
      </c>
      <c r="AE26" s="516">
        <f t="shared" si="39"/>
        <v>14989.299573410921</v>
      </c>
      <c r="AF26" s="511">
        <f t="shared" si="40"/>
        <v>92.319314281926125</v>
      </c>
      <c r="AG26" s="516">
        <f t="shared" si="41"/>
        <v>14896.980259128995</v>
      </c>
      <c r="AH26" s="511">
        <f>HLOOKUP($C$1,'Inflation Adjustments'!$BI$3:$BT$4,2)*BN26</f>
        <v>263889.22651874996</v>
      </c>
      <c r="AI26" s="511">
        <f>IF(AR26="In-Service",'Maintenace Cost Assumptions'!B$5*('Sealed Roads'!BK26+'Sealed Roads'!BL26+'Sealed Roads'!BM26),0)</f>
        <v>576.45000000000005</v>
      </c>
      <c r="AJ26" s="318">
        <v>4</v>
      </c>
      <c r="AK26" s="318">
        <v>2</v>
      </c>
      <c r="AL26" s="318">
        <v>2</v>
      </c>
      <c r="AM26" s="318">
        <v>2</v>
      </c>
      <c r="AN26" s="318">
        <v>3</v>
      </c>
      <c r="AO26" s="318">
        <v>2</v>
      </c>
      <c r="AP26" s="332">
        <f>(AJ26*'Condition rating weights'!H$15+AK26*'Condition rating weights'!I$15+AL26*'Condition rating weights'!J$15+AM26*'Condition rating weights'!K$15+AN26*'Condition rating weights'!L$15+AO26*'Condition rating weights'!R$15)/100</f>
        <v>0.44</v>
      </c>
      <c r="AQ26" s="453"/>
      <c r="AR26" s="454" t="s">
        <v>1431</v>
      </c>
      <c r="BH26" s="91" t="str">
        <f t="shared" si="0"/>
        <v>SRDT-022</v>
      </c>
      <c r="BI26" s="340">
        <f t="shared" si="1"/>
        <v>76860</v>
      </c>
      <c r="BJ26" s="340">
        <f t="shared" si="2"/>
        <v>42273</v>
      </c>
      <c r="BK26" s="340">
        <f t="shared" si="3"/>
        <v>57645</v>
      </c>
      <c r="BL26" s="340">
        <f t="shared" si="4"/>
        <v>0</v>
      </c>
      <c r="BM26" s="340">
        <f t="shared" si="5"/>
        <v>0</v>
      </c>
      <c r="BN26" s="341">
        <f t="shared" si="13"/>
        <v>176778</v>
      </c>
      <c r="BO26" s="341">
        <f>(HLOOKUP($X26,'Inflation Adjustments'!$M$3:$BT$4,2,TRUE))*BI26</f>
        <v>12588.997402080835</v>
      </c>
      <c r="BP26" s="341">
        <f>(HLOOKUP($X26,'Inflation Adjustments'!$M$3:$BT$4,2,TRUE))*BJ26</f>
        <v>6923.9485711444595</v>
      </c>
      <c r="BQ26" s="341">
        <f>(HLOOKUP($X26,'Inflation Adjustments'!$M$3:$BT$4,2,TRUE))*BK26</f>
        <v>9441.7480515606276</v>
      </c>
      <c r="BR26" s="341">
        <f>(HLOOKUP($X26,'Inflation Adjustments'!$M$3:$BT$4,2,TRUE))*BL26</f>
        <v>0</v>
      </c>
      <c r="BS26" s="341">
        <f>(HLOOKUP($X26,'Inflation Adjustments'!$M$3:$BT$4,2,TRUE))*BM26</f>
        <v>0</v>
      </c>
      <c r="BT26" s="341">
        <f t="shared" si="14"/>
        <v>28954.694024785924</v>
      </c>
      <c r="BU26" s="448">
        <f t="shared" si="6"/>
        <v>49</v>
      </c>
      <c r="BV26" s="93" t="s">
        <v>179</v>
      </c>
      <c r="BW26" s="448">
        <f t="shared" si="7"/>
        <v>75</v>
      </c>
      <c r="BX26" s="448">
        <f t="shared" si="8"/>
        <v>20</v>
      </c>
      <c r="BY26" s="448" t="str">
        <f t="shared" si="9"/>
        <v>N/A</v>
      </c>
      <c r="BZ26" s="93">
        <v>60</v>
      </c>
      <c r="CA26" s="449">
        <v>0</v>
      </c>
      <c r="CB26" s="340">
        <f t="shared" si="15"/>
        <v>92.319314281926125</v>
      </c>
      <c r="CC26" s="340">
        <f t="shared" si="16"/>
        <v>472.0874025780314</v>
      </c>
      <c r="CD26" s="340">
        <v>0</v>
      </c>
      <c r="CE26" s="340">
        <f t="shared" si="18"/>
        <v>0</v>
      </c>
      <c r="CF26" s="340"/>
      <c r="CG26" s="449">
        <v>0</v>
      </c>
      <c r="CH26" s="340">
        <f t="shared" si="19"/>
        <v>4523.6463998143799</v>
      </c>
      <c r="CI26" s="340">
        <f t="shared" si="20"/>
        <v>9441.7480515606276</v>
      </c>
      <c r="CJ26" s="340">
        <f t="shared" si="21"/>
        <v>0</v>
      </c>
      <c r="CK26" s="340">
        <f t="shared" si="22"/>
        <v>0</v>
      </c>
      <c r="CL26" s="341">
        <f t="shared" si="23"/>
        <v>13965.394451375007</v>
      </c>
      <c r="CM26" s="449">
        <v>0</v>
      </c>
      <c r="CN26" s="340">
        <f t="shared" si="24"/>
        <v>92.319314281926125</v>
      </c>
      <c r="CO26" s="340">
        <f t="shared" si="25"/>
        <v>0</v>
      </c>
      <c r="CP26" s="340">
        <f t="shared" si="26"/>
        <v>0</v>
      </c>
      <c r="CQ26" s="340">
        <f t="shared" si="27"/>
        <v>0</v>
      </c>
      <c r="CR26" s="341">
        <f t="shared" si="28"/>
        <v>92.319314281926125</v>
      </c>
      <c r="CS26" s="449">
        <v>0</v>
      </c>
      <c r="CT26" s="449">
        <v>0</v>
      </c>
      <c r="CU26" s="341">
        <f>(HLOOKUP($Z26,'Inflation Adjustments'!$M$3:$BT$4,2,TRUE))*BK26</f>
        <v>19892.339102370377</v>
      </c>
      <c r="CV26" s="449">
        <v>0</v>
      </c>
      <c r="CW26" s="449">
        <v>0</v>
      </c>
      <c r="CX26" s="341">
        <f t="shared" si="29"/>
        <v>19892.339102370377</v>
      </c>
      <c r="CY26" s="450">
        <v>0</v>
      </c>
      <c r="CZ26" s="450">
        <v>0</v>
      </c>
      <c r="DA26" s="340">
        <f t="shared" si="30"/>
        <v>994.61695511851894</v>
      </c>
      <c r="DB26" s="450">
        <v>0</v>
      </c>
      <c r="DC26" s="450">
        <v>0</v>
      </c>
      <c r="DD26" s="341">
        <f t="shared" si="31"/>
        <v>994.61695511851894</v>
      </c>
      <c r="DE26" s="91">
        <f t="shared" si="10"/>
        <v>31</v>
      </c>
      <c r="DF26" s="450">
        <v>0</v>
      </c>
      <c r="DG26" s="450">
        <v>0</v>
      </c>
      <c r="DH26" s="340">
        <f t="shared" si="11"/>
        <v>19892.339102370377</v>
      </c>
      <c r="DI26" s="450">
        <v>0</v>
      </c>
      <c r="DJ26" s="450">
        <v>0</v>
      </c>
      <c r="DK26" s="341">
        <f t="shared" si="32"/>
        <v>19892.339102370377</v>
      </c>
      <c r="DL26" s="450">
        <v>0</v>
      </c>
      <c r="DM26" s="450">
        <v>0</v>
      </c>
      <c r="DN26" s="449">
        <f t="shared" si="33"/>
        <v>0</v>
      </c>
      <c r="DO26" s="449">
        <v>0</v>
      </c>
      <c r="DP26" s="449">
        <v>0</v>
      </c>
      <c r="DQ26" s="450">
        <f t="shared" si="34"/>
        <v>0</v>
      </c>
    </row>
    <row r="27" spans="1:129" ht="43" customHeight="1" x14ac:dyDescent="0.3">
      <c r="A27" s="330"/>
      <c r="B27" s="451"/>
      <c r="C27" s="318"/>
      <c r="D27" s="318"/>
      <c r="E27" s="318"/>
      <c r="F27" s="318"/>
      <c r="G27" s="318"/>
      <c r="H27" s="318"/>
      <c r="I27" s="318"/>
      <c r="J27" s="318"/>
      <c r="K27" s="318"/>
      <c r="L27" s="318"/>
      <c r="M27" s="318"/>
      <c r="N27" s="318"/>
      <c r="O27" s="318"/>
      <c r="P27" s="318"/>
      <c r="Q27" s="318"/>
      <c r="R27" s="333"/>
      <c r="S27" s="318"/>
      <c r="T27" s="318"/>
      <c r="U27" s="318"/>
      <c r="V27" s="318"/>
      <c r="W27" s="318"/>
      <c r="X27" s="318"/>
      <c r="Y27" s="318"/>
      <c r="Z27" s="318"/>
      <c r="AA27" s="318"/>
      <c r="AB27" s="452"/>
      <c r="AC27" s="318"/>
      <c r="AD27" s="511" t="e">
        <f t="shared" ref="AD27:AD37" si="43">CL27+DK27</f>
        <v>#N/A</v>
      </c>
      <c r="AE27" s="516" t="e">
        <f t="shared" ref="AE27:AE37" si="44">AB27-AD27</f>
        <v>#N/A</v>
      </c>
      <c r="AF27" s="511" t="e">
        <f t="shared" ref="AF27:AF37" si="45">CR27+DQ27</f>
        <v>#N/A</v>
      </c>
      <c r="AG27" s="516" t="e">
        <f t="shared" ref="AG27:AG37" si="46">AE27-AF27</f>
        <v>#N/A</v>
      </c>
      <c r="AH27" s="511" t="e">
        <f>HLOOKUP($C$1,'Inflation Adjustments'!$BI$3:$BT$4,2)*BN27</f>
        <v>#N/A</v>
      </c>
      <c r="AI27" s="511">
        <f>IF(AR27="In-Service",'Maintenace Cost Assumptions'!B$5*('Sealed Roads'!BK27+'Sealed Roads'!BL27+'Sealed Roads'!BM27),0)</f>
        <v>0</v>
      </c>
      <c r="AJ27" s="318"/>
      <c r="AK27" s="318"/>
      <c r="AL27" s="318"/>
      <c r="AM27" s="318"/>
      <c r="AN27" s="318"/>
      <c r="AO27" s="318"/>
      <c r="AP27" s="332">
        <f>(AJ27*'Condition rating weights'!H$15+AK27*'Condition rating weights'!I$15+AL27*'Condition rating weights'!J$15+AM27*'Condition rating weights'!K$15+AN27*'Condition rating weights'!L$15+AO27*'Condition rating weights'!R$15)/100</f>
        <v>0</v>
      </c>
      <c r="AQ27" s="453"/>
      <c r="AR27" s="454"/>
      <c r="BH27" s="91">
        <f t="shared" si="0"/>
        <v>0</v>
      </c>
      <c r="BI27" s="340" t="e">
        <f t="shared" si="1"/>
        <v>#N/A</v>
      </c>
      <c r="BJ27" s="340" t="e">
        <f t="shared" si="2"/>
        <v>#N/A</v>
      </c>
      <c r="BK27" s="340" t="e">
        <f t="shared" si="3"/>
        <v>#N/A</v>
      </c>
      <c r="BL27" s="340" t="e">
        <f t="shared" si="4"/>
        <v>#N/A</v>
      </c>
      <c r="BM27" s="340">
        <f t="shared" si="5"/>
        <v>0</v>
      </c>
      <c r="BN27" s="341" t="e">
        <f t="shared" si="13"/>
        <v>#N/A</v>
      </c>
      <c r="BO27" s="341" t="e">
        <f>(HLOOKUP($X27,'Inflation Adjustments'!$M$3:$BT$4,2,TRUE))*BI27</f>
        <v>#N/A</v>
      </c>
      <c r="BP27" s="341" t="e">
        <f>(HLOOKUP($X27,'Inflation Adjustments'!$M$3:$BT$4,2,TRUE))*BJ27</f>
        <v>#N/A</v>
      </c>
      <c r="BQ27" s="341" t="e">
        <f>(HLOOKUP($X27,'Inflation Adjustments'!$M$3:$BT$4,2,TRUE))*BK27</f>
        <v>#N/A</v>
      </c>
      <c r="BR27" s="341" t="e">
        <f>(HLOOKUP($X27,'Inflation Adjustments'!$M$3:$BT$4,2,TRUE))*BL27</f>
        <v>#N/A</v>
      </c>
      <c r="BS27" s="341" t="e">
        <f>(HLOOKUP($X27,'Inflation Adjustments'!$M$3:$BT$4,2,TRUE))*BM27</f>
        <v>#N/A</v>
      </c>
      <c r="BT27" s="341" t="e">
        <f t="shared" si="14"/>
        <v>#N/A</v>
      </c>
      <c r="BU27" s="448">
        <f t="shared" si="6"/>
        <v>2022</v>
      </c>
      <c r="BV27" s="93" t="s">
        <v>179</v>
      </c>
      <c r="BW27" s="448" t="e">
        <f t="shared" si="7"/>
        <v>#N/A</v>
      </c>
      <c r="BX27" s="448" t="e">
        <f t="shared" si="8"/>
        <v>#N/A</v>
      </c>
      <c r="BY27" s="448" t="e">
        <f t="shared" si="9"/>
        <v>#N/A</v>
      </c>
      <c r="BZ27" s="93">
        <v>60</v>
      </c>
      <c r="CA27" s="449">
        <v>0</v>
      </c>
      <c r="CB27" s="340" t="e">
        <f t="shared" si="15"/>
        <v>#N/A</v>
      </c>
      <c r="CC27" s="340" t="e">
        <f t="shared" si="16"/>
        <v>#N/A</v>
      </c>
      <c r="CD27" s="340">
        <v>0</v>
      </c>
      <c r="CE27" s="340" t="e">
        <f t="shared" si="18"/>
        <v>#N/A</v>
      </c>
      <c r="CF27" s="340"/>
      <c r="CG27" s="449">
        <v>0</v>
      </c>
      <c r="CH27" s="340" t="e">
        <f t="shared" si="19"/>
        <v>#N/A</v>
      </c>
      <c r="CI27" s="340" t="e">
        <f t="shared" si="20"/>
        <v>#N/A</v>
      </c>
      <c r="CJ27" s="340" t="e">
        <f t="shared" si="21"/>
        <v>#N/A</v>
      </c>
      <c r="CK27" s="340" t="e">
        <f t="shared" si="22"/>
        <v>#N/A</v>
      </c>
      <c r="CL27" s="341" t="e">
        <f t="shared" si="23"/>
        <v>#N/A</v>
      </c>
      <c r="CM27" s="449">
        <v>0</v>
      </c>
      <c r="CN27" s="340" t="e">
        <f t="shared" si="24"/>
        <v>#N/A</v>
      </c>
      <c r="CO27" s="340" t="e">
        <f t="shared" si="25"/>
        <v>#N/A</v>
      </c>
      <c r="CP27" s="340" t="e">
        <f t="shared" si="26"/>
        <v>#N/A</v>
      </c>
      <c r="CQ27" s="340" t="e">
        <f t="shared" si="27"/>
        <v>#N/A</v>
      </c>
      <c r="CR27" s="341" t="e">
        <f t="shared" si="28"/>
        <v>#N/A</v>
      </c>
      <c r="CS27" s="449">
        <v>0</v>
      </c>
      <c r="CT27" s="449">
        <v>0</v>
      </c>
      <c r="CU27" s="341">
        <v>0</v>
      </c>
      <c r="CV27" s="449">
        <v>0</v>
      </c>
      <c r="CW27" s="449">
        <v>0</v>
      </c>
      <c r="CX27" s="341">
        <f t="shared" si="29"/>
        <v>0</v>
      </c>
      <c r="CY27" s="450">
        <v>0</v>
      </c>
      <c r="CZ27" s="450">
        <v>0</v>
      </c>
      <c r="DA27" s="340" t="e">
        <f t="shared" si="30"/>
        <v>#N/A</v>
      </c>
      <c r="DB27" s="450">
        <v>0</v>
      </c>
      <c r="DC27" s="450">
        <v>0</v>
      </c>
      <c r="DD27" s="341" t="e">
        <f t="shared" si="31"/>
        <v>#N/A</v>
      </c>
      <c r="DF27" s="450">
        <v>0</v>
      </c>
      <c r="DG27" s="450">
        <v>0</v>
      </c>
      <c r="DH27" s="340">
        <v>0</v>
      </c>
      <c r="DI27" s="450">
        <v>0</v>
      </c>
      <c r="DJ27" s="450">
        <v>0</v>
      </c>
      <c r="DK27" s="341">
        <f t="shared" si="32"/>
        <v>0</v>
      </c>
      <c r="DL27" s="450">
        <v>0</v>
      </c>
      <c r="DM27" s="450">
        <v>0</v>
      </c>
      <c r="DN27" s="449" t="e">
        <f t="shared" si="33"/>
        <v>#N/A</v>
      </c>
      <c r="DO27" s="449">
        <v>0</v>
      </c>
      <c r="DP27" s="449">
        <v>0</v>
      </c>
      <c r="DQ27" s="450" t="e">
        <f t="shared" si="34"/>
        <v>#N/A</v>
      </c>
    </row>
    <row r="28" spans="1:129" ht="34.5" customHeight="1" x14ac:dyDescent="0.3">
      <c r="A28" s="330"/>
      <c r="B28" s="451"/>
      <c r="C28" s="318"/>
      <c r="D28" s="318"/>
      <c r="E28" s="318"/>
      <c r="F28" s="318"/>
      <c r="G28" s="318"/>
      <c r="H28" s="318"/>
      <c r="I28" s="318"/>
      <c r="J28" s="318"/>
      <c r="K28" s="318"/>
      <c r="L28" s="318"/>
      <c r="M28" s="318"/>
      <c r="N28" s="318"/>
      <c r="O28" s="318"/>
      <c r="P28" s="318"/>
      <c r="Q28" s="318"/>
      <c r="R28" s="333"/>
      <c r="S28" s="318"/>
      <c r="T28" s="318"/>
      <c r="U28" s="318"/>
      <c r="V28" s="318"/>
      <c r="W28" s="318"/>
      <c r="X28" s="318"/>
      <c r="Y28" s="318"/>
      <c r="Z28" s="318"/>
      <c r="AA28" s="318"/>
      <c r="AB28" s="452"/>
      <c r="AC28" s="318"/>
      <c r="AD28" s="511" t="e">
        <f t="shared" si="43"/>
        <v>#N/A</v>
      </c>
      <c r="AE28" s="516" t="e">
        <f t="shared" si="44"/>
        <v>#N/A</v>
      </c>
      <c r="AF28" s="511" t="e">
        <f t="shared" si="45"/>
        <v>#N/A</v>
      </c>
      <c r="AG28" s="516" t="e">
        <f t="shared" si="46"/>
        <v>#N/A</v>
      </c>
      <c r="AH28" s="511" t="e">
        <f>HLOOKUP($C$1,'Inflation Adjustments'!$BI$3:$BT$4,2)*BN28</f>
        <v>#N/A</v>
      </c>
      <c r="AI28" s="511">
        <f>IF(AR28="In-Service",'Maintenace Cost Assumptions'!B$5*('Sealed Roads'!BK28+'Sealed Roads'!BL28+'Sealed Roads'!BM28),0)</f>
        <v>0</v>
      </c>
      <c r="AJ28" s="318"/>
      <c r="AK28" s="318"/>
      <c r="AL28" s="318"/>
      <c r="AM28" s="318"/>
      <c r="AN28" s="318"/>
      <c r="AO28" s="318"/>
      <c r="AP28" s="332">
        <f>(AJ28*'Condition rating weights'!H$15+AK28*'Condition rating weights'!I$15+AL28*'Condition rating weights'!J$15+AM28*'Condition rating weights'!K$15+AN28*'Condition rating weights'!L$15+AO28*'Condition rating weights'!R$15)/100</f>
        <v>0</v>
      </c>
      <c r="AQ28" s="453"/>
      <c r="AR28" s="454"/>
      <c r="BH28" s="91">
        <f t="shared" si="0"/>
        <v>0</v>
      </c>
      <c r="BI28" s="340" t="e">
        <f t="shared" si="1"/>
        <v>#N/A</v>
      </c>
      <c r="BJ28" s="340" t="e">
        <f t="shared" si="2"/>
        <v>#N/A</v>
      </c>
      <c r="BK28" s="340" t="e">
        <f t="shared" si="3"/>
        <v>#N/A</v>
      </c>
      <c r="BL28" s="340" t="e">
        <f t="shared" si="4"/>
        <v>#N/A</v>
      </c>
      <c r="BM28" s="340">
        <f t="shared" si="5"/>
        <v>0</v>
      </c>
      <c r="BN28" s="341" t="e">
        <f t="shared" si="13"/>
        <v>#N/A</v>
      </c>
      <c r="BO28" s="341" t="e">
        <f>(HLOOKUP($X28,'Inflation Adjustments'!$M$3:$BT$4,2,TRUE))*BI28</f>
        <v>#N/A</v>
      </c>
      <c r="BP28" s="341" t="e">
        <f>(HLOOKUP($X28,'Inflation Adjustments'!$M$3:$BT$4,2,TRUE))*BJ28</f>
        <v>#N/A</v>
      </c>
      <c r="BQ28" s="341" t="e">
        <f>(HLOOKUP($X28,'Inflation Adjustments'!$M$3:$BT$4,2,TRUE))*BK28</f>
        <v>#N/A</v>
      </c>
      <c r="BR28" s="341" t="e">
        <f>(HLOOKUP($X28,'Inflation Adjustments'!$M$3:$BT$4,2,TRUE))*BL28</f>
        <v>#N/A</v>
      </c>
      <c r="BS28" s="341" t="e">
        <f>(HLOOKUP($X28,'Inflation Adjustments'!$M$3:$BT$4,2,TRUE))*BM28</f>
        <v>#N/A</v>
      </c>
      <c r="BT28" s="341" t="e">
        <f t="shared" si="14"/>
        <v>#N/A</v>
      </c>
      <c r="BU28" s="448">
        <f t="shared" si="6"/>
        <v>2022</v>
      </c>
      <c r="BV28" s="93" t="s">
        <v>179</v>
      </c>
      <c r="BW28" s="448" t="e">
        <f t="shared" si="7"/>
        <v>#N/A</v>
      </c>
      <c r="BX28" s="448" t="e">
        <f t="shared" si="8"/>
        <v>#N/A</v>
      </c>
      <c r="BY28" s="448" t="e">
        <f t="shared" si="9"/>
        <v>#N/A</v>
      </c>
      <c r="BZ28" s="93">
        <v>60</v>
      </c>
      <c r="CA28" s="449">
        <v>0</v>
      </c>
      <c r="CB28" s="340" t="e">
        <f t="shared" si="15"/>
        <v>#N/A</v>
      </c>
      <c r="CC28" s="340" t="e">
        <f t="shared" si="16"/>
        <v>#N/A</v>
      </c>
      <c r="CD28" s="340">
        <v>0</v>
      </c>
      <c r="CE28" s="340" t="e">
        <f t="shared" si="18"/>
        <v>#N/A</v>
      </c>
      <c r="CF28" s="340"/>
      <c r="CG28" s="449">
        <v>0</v>
      </c>
      <c r="CH28" s="340" t="e">
        <f t="shared" si="19"/>
        <v>#N/A</v>
      </c>
      <c r="CI28" s="340" t="e">
        <f t="shared" si="20"/>
        <v>#N/A</v>
      </c>
      <c r="CJ28" s="340" t="e">
        <f t="shared" si="21"/>
        <v>#N/A</v>
      </c>
      <c r="CK28" s="340" t="e">
        <f t="shared" si="22"/>
        <v>#N/A</v>
      </c>
      <c r="CL28" s="341" t="e">
        <f t="shared" si="23"/>
        <v>#N/A</v>
      </c>
      <c r="CM28" s="449">
        <v>0</v>
      </c>
      <c r="CN28" s="340" t="e">
        <f t="shared" si="24"/>
        <v>#N/A</v>
      </c>
      <c r="CO28" s="340" t="e">
        <f t="shared" si="25"/>
        <v>#N/A</v>
      </c>
      <c r="CP28" s="340" t="e">
        <f t="shared" si="26"/>
        <v>#N/A</v>
      </c>
      <c r="CQ28" s="340" t="e">
        <f t="shared" si="27"/>
        <v>#N/A</v>
      </c>
      <c r="CR28" s="341" t="e">
        <f t="shared" si="28"/>
        <v>#N/A</v>
      </c>
      <c r="CS28" s="449">
        <v>0</v>
      </c>
      <c r="CT28" s="449">
        <v>0</v>
      </c>
      <c r="CU28" s="341">
        <v>0</v>
      </c>
      <c r="CV28" s="449">
        <v>0</v>
      </c>
      <c r="CW28" s="449">
        <v>0</v>
      </c>
      <c r="CX28" s="341">
        <f t="shared" si="29"/>
        <v>0</v>
      </c>
      <c r="CY28" s="450">
        <v>0</v>
      </c>
      <c r="CZ28" s="450">
        <v>0</v>
      </c>
      <c r="DA28" s="340" t="e">
        <f t="shared" si="30"/>
        <v>#N/A</v>
      </c>
      <c r="DB28" s="450">
        <v>0</v>
      </c>
      <c r="DC28" s="450">
        <v>0</v>
      </c>
      <c r="DD28" s="341" t="e">
        <f t="shared" si="31"/>
        <v>#N/A</v>
      </c>
      <c r="DF28" s="450">
        <v>0</v>
      </c>
      <c r="DG28" s="450">
        <v>0</v>
      </c>
      <c r="DH28" s="340">
        <v>0</v>
      </c>
      <c r="DI28" s="450">
        <v>0</v>
      </c>
      <c r="DJ28" s="450">
        <v>0</v>
      </c>
      <c r="DK28" s="341">
        <f t="shared" si="32"/>
        <v>0</v>
      </c>
      <c r="DL28" s="450">
        <v>0</v>
      </c>
      <c r="DM28" s="450">
        <v>0</v>
      </c>
      <c r="DN28" s="449" t="e">
        <f t="shared" si="33"/>
        <v>#N/A</v>
      </c>
      <c r="DO28" s="449">
        <v>0</v>
      </c>
      <c r="DP28" s="449">
        <v>0</v>
      </c>
      <c r="DQ28" s="450" t="e">
        <f t="shared" si="34"/>
        <v>#N/A</v>
      </c>
    </row>
    <row r="29" spans="1:129" ht="27" customHeight="1" x14ac:dyDescent="0.3">
      <c r="A29" s="456"/>
      <c r="B29" s="457"/>
      <c r="C29" s="331"/>
      <c r="D29" s="331"/>
      <c r="E29" s="331"/>
      <c r="F29" s="331"/>
      <c r="G29" s="331"/>
      <c r="H29" s="331"/>
      <c r="I29" s="331"/>
      <c r="J29" s="331"/>
      <c r="K29" s="331"/>
      <c r="L29" s="331"/>
      <c r="M29" s="331"/>
      <c r="N29" s="331"/>
      <c r="O29" s="331"/>
      <c r="P29" s="331"/>
      <c r="Q29" s="331"/>
      <c r="R29" s="414"/>
      <c r="S29" s="331"/>
      <c r="T29" s="331"/>
      <c r="U29" s="331"/>
      <c r="V29" s="331"/>
      <c r="W29" s="331"/>
      <c r="X29" s="331"/>
      <c r="Y29" s="331"/>
      <c r="Z29" s="331"/>
      <c r="AA29" s="331"/>
      <c r="AB29" s="458"/>
      <c r="AC29" s="331"/>
      <c r="AD29" s="511" t="e">
        <f t="shared" si="43"/>
        <v>#N/A</v>
      </c>
      <c r="AE29" s="516" t="e">
        <f t="shared" si="44"/>
        <v>#N/A</v>
      </c>
      <c r="AF29" s="511" t="e">
        <f t="shared" si="45"/>
        <v>#N/A</v>
      </c>
      <c r="AG29" s="516" t="e">
        <f t="shared" si="46"/>
        <v>#N/A</v>
      </c>
      <c r="AH29" s="511" t="e">
        <f>HLOOKUP($C$1,'Inflation Adjustments'!$BI$3:$BT$4,2)*BN29</f>
        <v>#N/A</v>
      </c>
      <c r="AI29" s="511">
        <f>IF(AR29="In-Service",'Maintenace Cost Assumptions'!B$5*('Sealed Roads'!BK29+'Sealed Roads'!BL29+'Sealed Roads'!BM29),0)</f>
        <v>0</v>
      </c>
      <c r="AJ29" s="331"/>
      <c r="AK29" s="331"/>
      <c r="AL29" s="331"/>
      <c r="AM29" s="331"/>
      <c r="AN29" s="331"/>
      <c r="AO29" s="331"/>
      <c r="AP29" s="332">
        <f>(AJ29*'Condition rating weights'!H$15+AK29*'Condition rating weights'!I$15+AL29*'Condition rating weights'!J$15+AM29*'Condition rating weights'!K$15+AN29*'Condition rating weights'!L$15+AO29*'Condition rating weights'!R$15)/100</f>
        <v>0</v>
      </c>
      <c r="AQ29" s="455"/>
      <c r="AR29" s="454"/>
      <c r="BH29" s="91">
        <f t="shared" si="0"/>
        <v>0</v>
      </c>
      <c r="BI29" s="340" t="e">
        <f t="shared" si="1"/>
        <v>#N/A</v>
      </c>
      <c r="BJ29" s="340" t="e">
        <f t="shared" si="2"/>
        <v>#N/A</v>
      </c>
      <c r="BK29" s="340" t="e">
        <f t="shared" si="3"/>
        <v>#N/A</v>
      </c>
      <c r="BL29" s="340" t="e">
        <f t="shared" si="4"/>
        <v>#N/A</v>
      </c>
      <c r="BM29" s="340">
        <f t="shared" si="5"/>
        <v>0</v>
      </c>
      <c r="BN29" s="341" t="e">
        <f>SUM(BI29:BM29)</f>
        <v>#N/A</v>
      </c>
      <c r="BO29" s="341" t="e">
        <f>(HLOOKUP($X29,'Inflation Adjustments'!$M$3:$BT$4,2,TRUE))*BI29</f>
        <v>#N/A</v>
      </c>
      <c r="BP29" s="341" t="e">
        <f>(HLOOKUP($X29,'Inflation Adjustments'!$M$3:$BT$4,2,TRUE))*BJ29</f>
        <v>#N/A</v>
      </c>
      <c r="BQ29" s="341" t="e">
        <f>(HLOOKUP($X29,'Inflation Adjustments'!$M$3:$BT$4,2,TRUE))*BK29</f>
        <v>#N/A</v>
      </c>
      <c r="BR29" s="341" t="e">
        <f>(HLOOKUP($X29,'Inflation Adjustments'!$M$3:$BT$4,2,TRUE))*BL29</f>
        <v>#N/A</v>
      </c>
      <c r="BS29" s="341" t="e">
        <f>(HLOOKUP($X29,'Inflation Adjustments'!$M$3:$BT$4,2,TRUE))*BM29</f>
        <v>#N/A</v>
      </c>
      <c r="BT29" s="341" t="e">
        <f>SUM(BO29:BS29)</f>
        <v>#N/A</v>
      </c>
      <c r="BU29" s="448">
        <f t="shared" si="6"/>
        <v>2022</v>
      </c>
      <c r="BV29" s="93" t="s">
        <v>179</v>
      </c>
      <c r="BW29" s="448" t="e">
        <f t="shared" si="7"/>
        <v>#N/A</v>
      </c>
      <c r="BX29" s="448" t="e">
        <f t="shared" si="8"/>
        <v>#N/A</v>
      </c>
      <c r="BY29" s="448" t="e">
        <f t="shared" si="9"/>
        <v>#N/A</v>
      </c>
      <c r="BZ29" s="93">
        <v>60</v>
      </c>
      <c r="CA29" s="449">
        <v>0</v>
      </c>
      <c r="CB29" s="340" t="e">
        <f>1/BW29*BP29</f>
        <v>#N/A</v>
      </c>
      <c r="CC29" s="340" t="e">
        <f>1/BX29*BQ29</f>
        <v>#N/A</v>
      </c>
      <c r="CD29" s="340">
        <v>0</v>
      </c>
      <c r="CE29" s="340" t="e">
        <f>1/BZ29*BS29</f>
        <v>#N/A</v>
      </c>
      <c r="CF29" s="340"/>
      <c r="CG29" s="449">
        <v>0</v>
      </c>
      <c r="CH29" s="340" t="e">
        <f>IF(CB29*$BU29&gt;BP29,BP29,CB29*$BU29)</f>
        <v>#N/A</v>
      </c>
      <c r="CI29" s="340" t="e">
        <f>IF(CC29*$BU29&gt;BQ29,BQ29,CC29*$BU29)</f>
        <v>#N/A</v>
      </c>
      <c r="CJ29" s="340" t="e">
        <f>IF(CD29*$BU29&gt;BR29,BR29,CD29*$BU29)</f>
        <v>#N/A</v>
      </c>
      <c r="CK29" s="340" t="e">
        <f>IF(CE29*$BU29&gt;BS29,BS29,CE29*$BU29)</f>
        <v>#N/A</v>
      </c>
      <c r="CL29" s="341" t="e">
        <f>SUM(CG29:CK29)</f>
        <v>#N/A</v>
      </c>
      <c r="CM29" s="449">
        <v>0</v>
      </c>
      <c r="CN29" s="340" t="e">
        <f t="shared" si="24"/>
        <v>#N/A</v>
      </c>
      <c r="CO29" s="340" t="e">
        <f t="shared" si="25"/>
        <v>#N/A</v>
      </c>
      <c r="CP29" s="340" t="e">
        <f t="shared" si="26"/>
        <v>#N/A</v>
      </c>
      <c r="CQ29" s="340" t="e">
        <f t="shared" si="27"/>
        <v>#N/A</v>
      </c>
      <c r="CR29" s="341" t="e">
        <f t="shared" si="28"/>
        <v>#N/A</v>
      </c>
      <c r="CS29" s="449">
        <v>0</v>
      </c>
      <c r="CT29" s="449">
        <v>0</v>
      </c>
      <c r="CU29" s="341">
        <v>0</v>
      </c>
      <c r="CV29" s="449">
        <v>0</v>
      </c>
      <c r="CW29" s="449">
        <v>0</v>
      </c>
      <c r="CX29" s="341">
        <f t="shared" si="29"/>
        <v>0</v>
      </c>
      <c r="CY29" s="450">
        <v>0</v>
      </c>
      <c r="CZ29" s="450">
        <v>0</v>
      </c>
      <c r="DA29" s="340" t="e">
        <f t="shared" si="30"/>
        <v>#N/A</v>
      </c>
      <c r="DB29" s="450">
        <v>0</v>
      </c>
      <c r="DC29" s="450">
        <v>0</v>
      </c>
      <c r="DD29" s="341" t="e">
        <f t="shared" si="31"/>
        <v>#N/A</v>
      </c>
      <c r="DF29" s="450">
        <v>0</v>
      </c>
      <c r="DG29" s="450">
        <v>0</v>
      </c>
      <c r="DH29" s="340">
        <v>0</v>
      </c>
      <c r="DI29" s="450">
        <v>0</v>
      </c>
      <c r="DJ29" s="450">
        <v>0</v>
      </c>
      <c r="DK29" s="341">
        <f t="shared" si="32"/>
        <v>0</v>
      </c>
      <c r="DL29" s="450">
        <v>0</v>
      </c>
      <c r="DM29" s="450">
        <v>0</v>
      </c>
      <c r="DN29" s="449" t="e">
        <f t="shared" si="33"/>
        <v>#N/A</v>
      </c>
      <c r="DO29" s="449">
        <v>0</v>
      </c>
      <c r="DP29" s="449">
        <v>0</v>
      </c>
      <c r="DQ29" s="450" t="e">
        <f t="shared" si="34"/>
        <v>#N/A</v>
      </c>
    </row>
    <row r="30" spans="1:129" s="459" customFormat="1" ht="27" customHeight="1" x14ac:dyDescent="0.3">
      <c r="A30" s="330"/>
      <c r="B30" s="318"/>
      <c r="C30" s="318"/>
      <c r="D30" s="318"/>
      <c r="E30" s="318"/>
      <c r="F30" s="318"/>
      <c r="G30" s="318"/>
      <c r="H30" s="318"/>
      <c r="I30" s="318"/>
      <c r="J30" s="318"/>
      <c r="K30" s="318"/>
      <c r="L30" s="318"/>
      <c r="M30" s="331"/>
      <c r="N30" s="331"/>
      <c r="O30" s="331"/>
      <c r="P30" s="318"/>
      <c r="Q30" s="318"/>
      <c r="R30" s="333"/>
      <c r="S30" s="318"/>
      <c r="T30" s="318"/>
      <c r="U30" s="318"/>
      <c r="V30" s="318"/>
      <c r="W30" s="318"/>
      <c r="X30" s="318"/>
      <c r="Y30" s="318"/>
      <c r="Z30" s="318"/>
      <c r="AA30" s="318"/>
      <c r="AB30" s="458">
        <f t="shared" ref="AB30:AB37" si="47">BT30+CX30</f>
        <v>0</v>
      </c>
      <c r="AC30" s="331"/>
      <c r="AD30" s="511">
        <f t="shared" si="43"/>
        <v>0</v>
      </c>
      <c r="AE30" s="516">
        <f t="shared" si="44"/>
        <v>0</v>
      </c>
      <c r="AF30" s="511">
        <f t="shared" si="45"/>
        <v>0</v>
      </c>
      <c r="AG30" s="516">
        <f t="shared" si="46"/>
        <v>0</v>
      </c>
      <c r="AH30" s="511">
        <f>HLOOKUP($C$1,'Inflation Adjustments'!$BI$3:$BT$4,2)*BN30</f>
        <v>0</v>
      </c>
      <c r="AI30" s="511">
        <f>IF(AR30="In-Service",'Maintenace Cost Assumptions'!B$5*('Sealed Roads'!BK30+'Sealed Roads'!BL30+'Sealed Roads'!BM30),0)</f>
        <v>0</v>
      </c>
      <c r="AJ30" s="318"/>
      <c r="AK30" s="318"/>
      <c r="AL30" s="318"/>
      <c r="AM30" s="318"/>
      <c r="AN30" s="318"/>
      <c r="AO30" s="318"/>
      <c r="AP30" s="332">
        <f>(AJ30*'Condition rating weights'!H$15+AK30*'Condition rating weights'!I$15+AL30*'Condition rating weights'!J$15+AM30*'Condition rating weights'!K$15+AN30*'Condition rating weights'!L$15+AO30*'Condition rating weights'!R$15)/100</f>
        <v>0</v>
      </c>
      <c r="AQ30" s="455"/>
      <c r="AR30" s="454"/>
      <c r="AS30" s="282"/>
      <c r="AT30" s="282"/>
      <c r="AU30" s="282"/>
      <c r="AV30" s="91"/>
      <c r="AW30" s="91"/>
      <c r="AX30" s="91"/>
      <c r="AY30" s="91"/>
      <c r="AZ30" s="91"/>
      <c r="BA30" s="91"/>
      <c r="BB30" s="91"/>
      <c r="BC30" s="91"/>
      <c r="BD30" s="91"/>
      <c r="BE30" s="91"/>
      <c r="BF30" s="91"/>
      <c r="BG30" s="91"/>
      <c r="BH30" s="91"/>
      <c r="BI30" s="340"/>
      <c r="BJ30" s="340"/>
      <c r="BK30" s="340"/>
      <c r="BL30" s="340"/>
      <c r="BM30" s="340"/>
      <c r="BN30" s="341"/>
      <c r="BO30" s="341"/>
      <c r="BP30" s="341"/>
      <c r="BQ30" s="341"/>
      <c r="BR30" s="341"/>
      <c r="BS30" s="341"/>
      <c r="BT30" s="341"/>
      <c r="BU30" s="448"/>
      <c r="BV30" s="93"/>
      <c r="BW30" s="448"/>
      <c r="BX30" s="448"/>
      <c r="BY30" s="448"/>
      <c r="BZ30" s="93"/>
      <c r="CA30" s="449"/>
      <c r="CB30" s="340"/>
      <c r="CC30" s="340"/>
      <c r="CD30" s="340"/>
      <c r="CE30" s="340"/>
      <c r="CF30" s="340"/>
      <c r="CG30" s="449"/>
      <c r="CH30" s="340"/>
      <c r="CI30" s="340"/>
      <c r="CJ30" s="340"/>
      <c r="CK30" s="340"/>
      <c r="CL30" s="341"/>
      <c r="CM30" s="449"/>
      <c r="CN30" s="340"/>
      <c r="CO30" s="340"/>
      <c r="CP30" s="340"/>
      <c r="CQ30" s="340"/>
      <c r="CR30" s="341"/>
      <c r="CS30" s="449"/>
      <c r="CT30" s="449"/>
      <c r="CU30" s="341"/>
      <c r="CV30" s="449"/>
      <c r="CW30" s="449"/>
      <c r="CX30" s="341"/>
      <c r="CY30" s="450"/>
      <c r="CZ30" s="450"/>
      <c r="DA30" s="340"/>
      <c r="DB30" s="450"/>
      <c r="DC30" s="450"/>
      <c r="DD30" s="341"/>
      <c r="DE30" s="91"/>
      <c r="DF30" s="450"/>
      <c r="DG30" s="450"/>
      <c r="DH30" s="340"/>
      <c r="DI30" s="450"/>
      <c r="DJ30" s="450"/>
      <c r="DK30" s="341"/>
      <c r="DL30" s="450"/>
      <c r="DM30" s="450"/>
      <c r="DN30" s="449"/>
      <c r="DO30" s="449"/>
      <c r="DP30" s="449"/>
      <c r="DQ30" s="450"/>
      <c r="DR30" s="91"/>
      <c r="DS30" s="91"/>
      <c r="DT30" s="91"/>
      <c r="DU30" s="91"/>
      <c r="DV30" s="91"/>
      <c r="DW30" s="91"/>
      <c r="DX30" s="91"/>
      <c r="DY30" s="91"/>
    </row>
    <row r="31" spans="1:129" s="459" customFormat="1" ht="27" customHeight="1" x14ac:dyDescent="0.3">
      <c r="A31" s="330"/>
      <c r="B31" s="318"/>
      <c r="C31" s="318"/>
      <c r="D31" s="318"/>
      <c r="E31" s="318"/>
      <c r="F31" s="318"/>
      <c r="G31" s="318"/>
      <c r="H31" s="318"/>
      <c r="I31" s="318"/>
      <c r="J31" s="318"/>
      <c r="K31" s="318"/>
      <c r="L31" s="318"/>
      <c r="M31" s="331"/>
      <c r="N31" s="331"/>
      <c r="O31" s="331"/>
      <c r="P31" s="318"/>
      <c r="Q31" s="318"/>
      <c r="R31" s="333"/>
      <c r="S31" s="318"/>
      <c r="T31" s="318"/>
      <c r="U31" s="318"/>
      <c r="V31" s="318"/>
      <c r="W31" s="318"/>
      <c r="X31" s="318"/>
      <c r="Y31" s="318"/>
      <c r="Z31" s="318"/>
      <c r="AA31" s="318"/>
      <c r="AB31" s="458">
        <f t="shared" si="47"/>
        <v>0</v>
      </c>
      <c r="AC31" s="331"/>
      <c r="AD31" s="511">
        <f t="shared" si="43"/>
        <v>0</v>
      </c>
      <c r="AE31" s="516">
        <f t="shared" si="44"/>
        <v>0</v>
      </c>
      <c r="AF31" s="511">
        <f t="shared" si="45"/>
        <v>0</v>
      </c>
      <c r="AG31" s="516">
        <f t="shared" si="46"/>
        <v>0</v>
      </c>
      <c r="AH31" s="511">
        <f>HLOOKUP($C$1,'Inflation Adjustments'!$BI$3:$BT$4,2)*BN31</f>
        <v>0</v>
      </c>
      <c r="AI31" s="511">
        <f>IF(AR31="In-Service",'Maintenace Cost Assumptions'!B$5*('Sealed Roads'!BK31+'Sealed Roads'!BL31+'Sealed Roads'!BM31),0)</f>
        <v>0</v>
      </c>
      <c r="AJ31" s="318"/>
      <c r="AK31" s="318"/>
      <c r="AL31" s="318"/>
      <c r="AM31" s="318"/>
      <c r="AN31" s="318"/>
      <c r="AO31" s="318"/>
      <c r="AP31" s="332">
        <f>(AJ31*'Condition rating weights'!H$15+AK31*'Condition rating weights'!I$15+AL31*'Condition rating weights'!J$15+AM31*'Condition rating weights'!K$15+AN31*'Condition rating weights'!L$15+AO31*'Condition rating weights'!R$15)/100</f>
        <v>0</v>
      </c>
      <c r="AQ31" s="455"/>
      <c r="AR31" s="454"/>
      <c r="AS31" s="282"/>
      <c r="AT31" s="282"/>
      <c r="AU31" s="282"/>
      <c r="AV31" s="91"/>
      <c r="AW31" s="91"/>
      <c r="AX31" s="91"/>
      <c r="AY31" s="91"/>
      <c r="AZ31" s="91"/>
      <c r="BA31" s="91"/>
      <c r="BB31" s="91"/>
      <c r="BC31" s="91"/>
      <c r="BD31" s="91"/>
      <c r="BE31" s="91"/>
      <c r="BF31" s="91"/>
      <c r="BG31" s="91"/>
      <c r="BH31" s="91"/>
      <c r="BI31" s="340"/>
      <c r="BJ31" s="340"/>
      <c r="BK31" s="340"/>
      <c r="BL31" s="340"/>
      <c r="BM31" s="340"/>
      <c r="BN31" s="341"/>
      <c r="BO31" s="341"/>
      <c r="BP31" s="341"/>
      <c r="BQ31" s="341"/>
      <c r="BR31" s="341"/>
      <c r="BS31" s="341"/>
      <c r="BT31" s="341"/>
      <c r="BU31" s="448"/>
      <c r="BV31" s="93"/>
      <c r="BW31" s="448"/>
      <c r="BX31" s="448"/>
      <c r="BY31" s="448"/>
      <c r="BZ31" s="93"/>
      <c r="CA31" s="449"/>
      <c r="CB31" s="340"/>
      <c r="CC31" s="340"/>
      <c r="CD31" s="340"/>
      <c r="CE31" s="340"/>
      <c r="CF31" s="340"/>
      <c r="CG31" s="449"/>
      <c r="CH31" s="340"/>
      <c r="CI31" s="340"/>
      <c r="CJ31" s="340"/>
      <c r="CK31" s="340"/>
      <c r="CL31" s="341"/>
      <c r="CM31" s="449"/>
      <c r="CN31" s="340"/>
      <c r="CO31" s="340"/>
      <c r="CP31" s="340"/>
      <c r="CQ31" s="340"/>
      <c r="CR31" s="341"/>
      <c r="CS31" s="449"/>
      <c r="CT31" s="449"/>
      <c r="CU31" s="341"/>
      <c r="CV31" s="449"/>
      <c r="CW31" s="449"/>
      <c r="CX31" s="341"/>
      <c r="CY31" s="450"/>
      <c r="CZ31" s="450"/>
      <c r="DA31" s="340"/>
      <c r="DB31" s="450"/>
      <c r="DC31" s="450"/>
      <c r="DD31" s="341"/>
      <c r="DE31" s="91"/>
      <c r="DF31" s="450"/>
      <c r="DG31" s="450"/>
      <c r="DH31" s="340"/>
      <c r="DI31" s="450"/>
      <c r="DJ31" s="450"/>
      <c r="DK31" s="341"/>
      <c r="DL31" s="450"/>
      <c r="DM31" s="450"/>
      <c r="DN31" s="449"/>
      <c r="DO31" s="449"/>
      <c r="DP31" s="449"/>
      <c r="DQ31" s="450"/>
      <c r="DR31" s="91"/>
      <c r="DS31" s="91"/>
      <c r="DT31" s="91"/>
      <c r="DU31" s="91"/>
      <c r="DV31" s="91"/>
      <c r="DW31" s="91"/>
      <c r="DX31" s="91"/>
      <c r="DY31" s="91"/>
    </row>
    <row r="32" spans="1:129" s="459" customFormat="1" ht="27" customHeight="1" x14ac:dyDescent="0.3">
      <c r="A32" s="330"/>
      <c r="B32" s="318"/>
      <c r="C32" s="318"/>
      <c r="D32" s="318"/>
      <c r="E32" s="318"/>
      <c r="F32" s="318"/>
      <c r="G32" s="318"/>
      <c r="H32" s="318"/>
      <c r="I32" s="318"/>
      <c r="J32" s="318"/>
      <c r="K32" s="318"/>
      <c r="L32" s="318"/>
      <c r="M32" s="331"/>
      <c r="N32" s="331"/>
      <c r="O32" s="331"/>
      <c r="P32" s="318"/>
      <c r="Q32" s="318"/>
      <c r="R32" s="333"/>
      <c r="S32" s="318"/>
      <c r="T32" s="318"/>
      <c r="U32" s="318"/>
      <c r="V32" s="318"/>
      <c r="W32" s="318"/>
      <c r="X32" s="318"/>
      <c r="Y32" s="318"/>
      <c r="Z32" s="318"/>
      <c r="AA32" s="318"/>
      <c r="AB32" s="458">
        <f t="shared" si="47"/>
        <v>0</v>
      </c>
      <c r="AC32" s="331"/>
      <c r="AD32" s="511">
        <f t="shared" si="43"/>
        <v>0</v>
      </c>
      <c r="AE32" s="516">
        <f t="shared" si="44"/>
        <v>0</v>
      </c>
      <c r="AF32" s="511">
        <f t="shared" si="45"/>
        <v>0</v>
      </c>
      <c r="AG32" s="516">
        <f t="shared" si="46"/>
        <v>0</v>
      </c>
      <c r="AH32" s="511">
        <f>HLOOKUP($C$1,'Inflation Adjustments'!$BI$3:$BT$4,2)*BN32</f>
        <v>0</v>
      </c>
      <c r="AI32" s="511">
        <f>IF(AR32="In-Service",'Maintenace Cost Assumptions'!B$5*('Sealed Roads'!BK32+'Sealed Roads'!BL32+'Sealed Roads'!BM32),0)</f>
        <v>0</v>
      </c>
      <c r="AJ32" s="318"/>
      <c r="AK32" s="318"/>
      <c r="AL32" s="318"/>
      <c r="AM32" s="318"/>
      <c r="AN32" s="318"/>
      <c r="AO32" s="318"/>
      <c r="AP32" s="332">
        <f>(AJ32*'Condition rating weights'!H$15+AK32*'Condition rating weights'!I$15+AL32*'Condition rating weights'!J$15+AM32*'Condition rating weights'!K$15+AN32*'Condition rating weights'!L$15+AO32*'Condition rating weights'!R$15)/100</f>
        <v>0</v>
      </c>
      <c r="AQ32" s="455"/>
      <c r="AR32" s="454"/>
      <c r="AS32" s="282"/>
      <c r="AT32" s="282"/>
      <c r="AU32" s="282"/>
      <c r="AV32" s="91"/>
      <c r="AW32" s="91"/>
      <c r="AX32" s="91"/>
      <c r="AY32" s="91"/>
      <c r="AZ32" s="91"/>
      <c r="BA32" s="91"/>
      <c r="BB32" s="91"/>
      <c r="BC32" s="91"/>
      <c r="BD32" s="91"/>
      <c r="BE32" s="91"/>
      <c r="BF32" s="91"/>
      <c r="BG32" s="91"/>
      <c r="BH32" s="91"/>
      <c r="BI32" s="340"/>
      <c r="BJ32" s="340"/>
      <c r="BK32" s="340"/>
      <c r="BL32" s="340"/>
      <c r="BM32" s="340"/>
      <c r="BN32" s="341"/>
      <c r="BO32" s="341"/>
      <c r="BP32" s="341"/>
      <c r="BQ32" s="341"/>
      <c r="BR32" s="341"/>
      <c r="BS32" s="341"/>
      <c r="BT32" s="341"/>
      <c r="BU32" s="448"/>
      <c r="BV32" s="93"/>
      <c r="BW32" s="448"/>
      <c r="BX32" s="448"/>
      <c r="BY32" s="448"/>
      <c r="BZ32" s="93"/>
      <c r="CA32" s="449"/>
      <c r="CB32" s="340"/>
      <c r="CC32" s="340"/>
      <c r="CD32" s="340"/>
      <c r="CE32" s="340"/>
      <c r="CF32" s="340"/>
      <c r="CG32" s="449"/>
      <c r="CH32" s="340"/>
      <c r="CI32" s="340"/>
      <c r="CJ32" s="340"/>
      <c r="CK32" s="340"/>
      <c r="CL32" s="341"/>
      <c r="CM32" s="449"/>
      <c r="CN32" s="340"/>
      <c r="CO32" s="340"/>
      <c r="CP32" s="340"/>
      <c r="CQ32" s="340"/>
      <c r="CR32" s="341"/>
      <c r="CS32" s="449"/>
      <c r="CT32" s="449"/>
      <c r="CU32" s="341"/>
      <c r="CV32" s="449"/>
      <c r="CW32" s="449"/>
      <c r="CX32" s="341"/>
      <c r="CY32" s="450"/>
      <c r="CZ32" s="450"/>
      <c r="DA32" s="340"/>
      <c r="DB32" s="450"/>
      <c r="DC32" s="450"/>
      <c r="DD32" s="341"/>
      <c r="DE32" s="91"/>
      <c r="DF32" s="450"/>
      <c r="DG32" s="450"/>
      <c r="DH32" s="340"/>
      <c r="DI32" s="450"/>
      <c r="DJ32" s="450"/>
      <c r="DK32" s="341"/>
      <c r="DL32" s="450"/>
      <c r="DM32" s="450"/>
      <c r="DN32" s="449"/>
      <c r="DO32" s="449"/>
      <c r="DP32" s="449"/>
      <c r="DQ32" s="450"/>
      <c r="DR32" s="91"/>
      <c r="DS32" s="91"/>
      <c r="DT32" s="91"/>
      <c r="DU32" s="91"/>
      <c r="DV32" s="91"/>
      <c r="DW32" s="91"/>
      <c r="DX32" s="91"/>
      <c r="DY32" s="91"/>
    </row>
    <row r="33" spans="1:129" s="459" customFormat="1" ht="27" customHeight="1" x14ac:dyDescent="0.3">
      <c r="A33" s="330"/>
      <c r="B33" s="318"/>
      <c r="C33" s="318"/>
      <c r="D33" s="318"/>
      <c r="E33" s="318"/>
      <c r="F33" s="318"/>
      <c r="G33" s="318"/>
      <c r="H33" s="318"/>
      <c r="I33" s="318"/>
      <c r="J33" s="318"/>
      <c r="K33" s="318"/>
      <c r="L33" s="318"/>
      <c r="M33" s="331"/>
      <c r="N33" s="331"/>
      <c r="O33" s="331"/>
      <c r="P33" s="318"/>
      <c r="Q33" s="318"/>
      <c r="R33" s="333"/>
      <c r="S33" s="318"/>
      <c r="T33" s="318"/>
      <c r="U33" s="318"/>
      <c r="V33" s="318"/>
      <c r="W33" s="318"/>
      <c r="X33" s="318"/>
      <c r="Y33" s="318"/>
      <c r="Z33" s="318"/>
      <c r="AA33" s="318"/>
      <c r="AB33" s="458">
        <f t="shared" si="47"/>
        <v>0</v>
      </c>
      <c r="AC33" s="331"/>
      <c r="AD33" s="511">
        <f t="shared" si="43"/>
        <v>0</v>
      </c>
      <c r="AE33" s="516">
        <f t="shared" si="44"/>
        <v>0</v>
      </c>
      <c r="AF33" s="511">
        <f t="shared" si="45"/>
        <v>0</v>
      </c>
      <c r="AG33" s="516">
        <f t="shared" si="46"/>
        <v>0</v>
      </c>
      <c r="AH33" s="511">
        <f>HLOOKUP($C$1,'Inflation Adjustments'!$BI$3:$BT$4,2)*BN33</f>
        <v>0</v>
      </c>
      <c r="AI33" s="511">
        <f>IF(AR33="In-Service",'Maintenace Cost Assumptions'!B$5*('Sealed Roads'!BK33+'Sealed Roads'!BL33+'Sealed Roads'!BM33),0)</f>
        <v>0</v>
      </c>
      <c r="AJ33" s="318"/>
      <c r="AK33" s="318"/>
      <c r="AL33" s="318"/>
      <c r="AM33" s="318"/>
      <c r="AN33" s="318"/>
      <c r="AO33" s="318"/>
      <c r="AP33" s="332">
        <f>(AJ33*'Condition rating weights'!H$15+AK33*'Condition rating weights'!I$15+AL33*'Condition rating weights'!J$15+AM33*'Condition rating weights'!K$15+AN33*'Condition rating weights'!L$15+AO33*'Condition rating weights'!R$15)/100</f>
        <v>0</v>
      </c>
      <c r="AQ33" s="455"/>
      <c r="AR33" s="454"/>
      <c r="AS33" s="282"/>
      <c r="AT33" s="282"/>
      <c r="AU33" s="282"/>
      <c r="AV33" s="91"/>
      <c r="AW33" s="91"/>
      <c r="AX33" s="91"/>
      <c r="AY33" s="91"/>
      <c r="AZ33" s="91"/>
      <c r="BA33" s="91"/>
      <c r="BB33" s="91"/>
      <c r="BC33" s="91"/>
      <c r="BD33" s="91"/>
      <c r="BE33" s="91"/>
      <c r="BF33" s="91"/>
      <c r="BG33" s="91"/>
      <c r="BH33" s="91"/>
      <c r="BI33" s="340"/>
      <c r="BJ33" s="340"/>
      <c r="BK33" s="340"/>
      <c r="BL33" s="340"/>
      <c r="BM33" s="340"/>
      <c r="BN33" s="341"/>
      <c r="BO33" s="341"/>
      <c r="BP33" s="341"/>
      <c r="BQ33" s="341"/>
      <c r="BR33" s="341"/>
      <c r="BS33" s="341"/>
      <c r="BT33" s="341"/>
      <c r="BU33" s="448"/>
      <c r="BV33" s="93"/>
      <c r="BW33" s="448"/>
      <c r="BX33" s="448"/>
      <c r="BY33" s="448"/>
      <c r="BZ33" s="93"/>
      <c r="CA33" s="449"/>
      <c r="CB33" s="340"/>
      <c r="CC33" s="340"/>
      <c r="CD33" s="340"/>
      <c r="CE33" s="340"/>
      <c r="CF33" s="340"/>
      <c r="CG33" s="449"/>
      <c r="CH33" s="340"/>
      <c r="CI33" s="340"/>
      <c r="CJ33" s="340"/>
      <c r="CK33" s="340"/>
      <c r="CL33" s="341"/>
      <c r="CM33" s="449"/>
      <c r="CN33" s="340"/>
      <c r="CO33" s="340"/>
      <c r="CP33" s="340"/>
      <c r="CQ33" s="340"/>
      <c r="CR33" s="341"/>
      <c r="CS33" s="449"/>
      <c r="CT33" s="449"/>
      <c r="CU33" s="341"/>
      <c r="CV33" s="449"/>
      <c r="CW33" s="449"/>
      <c r="CX33" s="341"/>
      <c r="CY33" s="450"/>
      <c r="CZ33" s="450"/>
      <c r="DA33" s="340"/>
      <c r="DB33" s="450"/>
      <c r="DC33" s="450"/>
      <c r="DD33" s="341"/>
      <c r="DE33" s="91"/>
      <c r="DF33" s="450"/>
      <c r="DG33" s="450"/>
      <c r="DH33" s="340"/>
      <c r="DI33" s="450"/>
      <c r="DJ33" s="450"/>
      <c r="DK33" s="341"/>
      <c r="DL33" s="450"/>
      <c r="DM33" s="450"/>
      <c r="DN33" s="449"/>
      <c r="DO33" s="449"/>
      <c r="DP33" s="449"/>
      <c r="DQ33" s="450"/>
      <c r="DR33" s="91"/>
      <c r="DS33" s="91"/>
      <c r="DT33" s="91"/>
      <c r="DU33" s="91"/>
      <c r="DV33" s="91"/>
      <c r="DW33" s="91"/>
      <c r="DX33" s="91"/>
      <c r="DY33" s="91"/>
    </row>
    <row r="34" spans="1:129" s="459" customFormat="1" ht="27" customHeight="1" x14ac:dyDescent="0.3">
      <c r="A34" s="330"/>
      <c r="B34" s="318"/>
      <c r="C34" s="318"/>
      <c r="D34" s="318"/>
      <c r="E34" s="318"/>
      <c r="F34" s="318"/>
      <c r="G34" s="318"/>
      <c r="H34" s="318"/>
      <c r="I34" s="318"/>
      <c r="J34" s="318"/>
      <c r="K34" s="318"/>
      <c r="L34" s="318"/>
      <c r="M34" s="331"/>
      <c r="N34" s="331"/>
      <c r="O34" s="331"/>
      <c r="P34" s="318"/>
      <c r="Q34" s="318"/>
      <c r="R34" s="333"/>
      <c r="S34" s="318"/>
      <c r="T34" s="318"/>
      <c r="U34" s="318"/>
      <c r="V34" s="318"/>
      <c r="W34" s="318"/>
      <c r="X34" s="318"/>
      <c r="Y34" s="318"/>
      <c r="Z34" s="318"/>
      <c r="AA34" s="318"/>
      <c r="AB34" s="458">
        <f t="shared" si="47"/>
        <v>0</v>
      </c>
      <c r="AC34" s="331"/>
      <c r="AD34" s="511">
        <f t="shared" si="43"/>
        <v>0</v>
      </c>
      <c r="AE34" s="516">
        <f t="shared" si="44"/>
        <v>0</v>
      </c>
      <c r="AF34" s="511">
        <f t="shared" si="45"/>
        <v>0</v>
      </c>
      <c r="AG34" s="516">
        <f t="shared" si="46"/>
        <v>0</v>
      </c>
      <c r="AH34" s="511">
        <f>HLOOKUP($C$1,'Inflation Adjustments'!$BI$3:$BT$4,2)*BN34</f>
        <v>0</v>
      </c>
      <c r="AI34" s="511">
        <f>IF(AR34="In-Service",'Maintenace Cost Assumptions'!B$5*('Sealed Roads'!BK34+'Sealed Roads'!BL34+'Sealed Roads'!BM34),0)</f>
        <v>0</v>
      </c>
      <c r="AJ34" s="318"/>
      <c r="AK34" s="318"/>
      <c r="AL34" s="318"/>
      <c r="AM34" s="318"/>
      <c r="AN34" s="318"/>
      <c r="AO34" s="318"/>
      <c r="AP34" s="318"/>
      <c r="AQ34" s="455"/>
      <c r="AR34" s="454"/>
      <c r="AS34" s="282"/>
      <c r="AT34" s="282"/>
      <c r="AU34" s="282"/>
      <c r="AV34" s="91"/>
      <c r="AW34" s="91"/>
      <c r="AX34" s="91"/>
      <c r="AY34" s="91"/>
      <c r="AZ34" s="91"/>
      <c r="BA34" s="91"/>
      <c r="BB34" s="91"/>
      <c r="BC34" s="91"/>
      <c r="BD34" s="91"/>
      <c r="BE34" s="91"/>
      <c r="BF34" s="91"/>
      <c r="BG34" s="91"/>
      <c r="BH34" s="91"/>
      <c r="BI34" s="340"/>
      <c r="BJ34" s="340"/>
      <c r="BK34" s="340"/>
      <c r="BL34" s="340"/>
      <c r="BM34" s="340"/>
      <c r="BN34" s="341"/>
      <c r="BO34" s="341"/>
      <c r="BP34" s="341"/>
      <c r="BQ34" s="341"/>
      <c r="BR34" s="341"/>
      <c r="BS34" s="341"/>
      <c r="BT34" s="341"/>
      <c r="BU34" s="448"/>
      <c r="BV34" s="93"/>
      <c r="BW34" s="448"/>
      <c r="BX34" s="448"/>
      <c r="BY34" s="448"/>
      <c r="BZ34" s="93"/>
      <c r="CA34" s="449"/>
      <c r="CB34" s="340"/>
      <c r="CC34" s="340"/>
      <c r="CD34" s="340"/>
      <c r="CE34" s="340"/>
      <c r="CF34" s="340"/>
      <c r="CG34" s="449"/>
      <c r="CH34" s="340"/>
      <c r="CI34" s="340"/>
      <c r="CJ34" s="340"/>
      <c r="CK34" s="340"/>
      <c r="CL34" s="341"/>
      <c r="CM34" s="449"/>
      <c r="CN34" s="340"/>
      <c r="CO34" s="340"/>
      <c r="CP34" s="340"/>
      <c r="CQ34" s="340"/>
      <c r="CR34" s="341"/>
      <c r="CS34" s="449"/>
      <c r="CT34" s="449"/>
      <c r="CU34" s="341"/>
      <c r="CV34" s="449"/>
      <c r="CW34" s="449"/>
      <c r="CX34" s="341"/>
      <c r="CY34" s="450"/>
      <c r="CZ34" s="450"/>
      <c r="DA34" s="340"/>
      <c r="DB34" s="450"/>
      <c r="DC34" s="450"/>
      <c r="DD34" s="341"/>
      <c r="DE34" s="91"/>
      <c r="DF34" s="450"/>
      <c r="DG34" s="450"/>
      <c r="DH34" s="340"/>
      <c r="DI34" s="450"/>
      <c r="DJ34" s="450"/>
      <c r="DK34" s="341"/>
      <c r="DL34" s="450"/>
      <c r="DM34" s="450"/>
      <c r="DN34" s="449"/>
      <c r="DO34" s="449"/>
      <c r="DP34" s="449"/>
      <c r="DQ34" s="450"/>
      <c r="DR34" s="91"/>
      <c r="DS34" s="91"/>
      <c r="DT34" s="91"/>
      <c r="DU34" s="91"/>
      <c r="DV34" s="91"/>
      <c r="DW34" s="91"/>
      <c r="DX34" s="91"/>
      <c r="DY34" s="91"/>
    </row>
    <row r="35" spans="1:129" s="459" customFormat="1" ht="27" customHeight="1" x14ac:dyDescent="0.3">
      <c r="A35" s="330"/>
      <c r="B35" s="318"/>
      <c r="C35" s="318"/>
      <c r="D35" s="318"/>
      <c r="E35" s="318"/>
      <c r="F35" s="318"/>
      <c r="G35" s="318"/>
      <c r="H35" s="318"/>
      <c r="I35" s="318"/>
      <c r="J35" s="318"/>
      <c r="K35" s="318"/>
      <c r="L35" s="318"/>
      <c r="M35" s="331"/>
      <c r="N35" s="331"/>
      <c r="O35" s="331"/>
      <c r="P35" s="318"/>
      <c r="Q35" s="318"/>
      <c r="R35" s="333"/>
      <c r="S35" s="318"/>
      <c r="T35" s="318"/>
      <c r="U35" s="318"/>
      <c r="V35" s="318"/>
      <c r="W35" s="318"/>
      <c r="X35" s="318"/>
      <c r="Y35" s="318"/>
      <c r="Z35" s="318"/>
      <c r="AA35" s="318"/>
      <c r="AB35" s="458">
        <f t="shared" si="47"/>
        <v>0</v>
      </c>
      <c r="AC35" s="331"/>
      <c r="AD35" s="511">
        <f t="shared" si="43"/>
        <v>0</v>
      </c>
      <c r="AE35" s="516">
        <f t="shared" si="44"/>
        <v>0</v>
      </c>
      <c r="AF35" s="511">
        <f t="shared" si="45"/>
        <v>0</v>
      </c>
      <c r="AG35" s="516">
        <f t="shared" si="46"/>
        <v>0</v>
      </c>
      <c r="AH35" s="511">
        <f>HLOOKUP($C$1,'Inflation Adjustments'!$BI$3:$BT$4,2)*BN35</f>
        <v>0</v>
      </c>
      <c r="AI35" s="511">
        <f>IF(AR35="In-Service",'Maintenace Cost Assumptions'!B$5*('Sealed Roads'!BK35+'Sealed Roads'!BL35+'Sealed Roads'!BM35),0)</f>
        <v>0</v>
      </c>
      <c r="AJ35" s="318"/>
      <c r="AK35" s="318"/>
      <c r="AL35" s="318"/>
      <c r="AM35" s="318"/>
      <c r="AN35" s="318"/>
      <c r="AO35" s="318"/>
      <c r="AP35" s="318"/>
      <c r="AQ35" s="455"/>
      <c r="AR35" s="454"/>
      <c r="AS35" s="282"/>
      <c r="AT35" s="282"/>
      <c r="AU35" s="282"/>
      <c r="AV35" s="91"/>
      <c r="AW35" s="91"/>
      <c r="AX35" s="91"/>
      <c r="AY35" s="91"/>
      <c r="AZ35" s="91"/>
      <c r="BA35" s="91"/>
      <c r="BB35" s="91"/>
      <c r="BC35" s="91"/>
      <c r="BD35" s="91"/>
      <c r="BE35" s="91"/>
      <c r="BF35" s="91"/>
      <c r="BG35" s="91"/>
      <c r="BH35" s="91"/>
      <c r="BI35" s="340"/>
      <c r="BJ35" s="340"/>
      <c r="BK35" s="340"/>
      <c r="BL35" s="340"/>
      <c r="BM35" s="340"/>
      <c r="BN35" s="341"/>
      <c r="BO35" s="341"/>
      <c r="BP35" s="341"/>
      <c r="BQ35" s="341"/>
      <c r="BR35" s="341"/>
      <c r="BS35" s="341"/>
      <c r="BT35" s="341"/>
      <c r="BU35" s="448"/>
      <c r="BV35" s="93"/>
      <c r="BW35" s="448"/>
      <c r="BX35" s="448"/>
      <c r="BY35" s="448"/>
      <c r="BZ35" s="93"/>
      <c r="CA35" s="449"/>
      <c r="CB35" s="340"/>
      <c r="CC35" s="340"/>
      <c r="CD35" s="340"/>
      <c r="CE35" s="340"/>
      <c r="CF35" s="340"/>
      <c r="CG35" s="449"/>
      <c r="CH35" s="340"/>
      <c r="CI35" s="340"/>
      <c r="CJ35" s="340"/>
      <c r="CK35" s="340"/>
      <c r="CL35" s="341"/>
      <c r="CM35" s="449"/>
      <c r="CN35" s="340"/>
      <c r="CO35" s="340"/>
      <c r="CP35" s="340"/>
      <c r="CQ35" s="340"/>
      <c r="CR35" s="341"/>
      <c r="CS35" s="449"/>
      <c r="CT35" s="449"/>
      <c r="CU35" s="341"/>
      <c r="CV35" s="449"/>
      <c r="CW35" s="449"/>
      <c r="CX35" s="341"/>
      <c r="CY35" s="450"/>
      <c r="CZ35" s="450"/>
      <c r="DA35" s="340"/>
      <c r="DB35" s="450"/>
      <c r="DC35" s="450"/>
      <c r="DD35" s="341"/>
      <c r="DE35" s="91"/>
      <c r="DF35" s="450"/>
      <c r="DG35" s="450"/>
      <c r="DH35" s="340"/>
      <c r="DI35" s="450"/>
      <c r="DJ35" s="450"/>
      <c r="DK35" s="341"/>
      <c r="DL35" s="450"/>
      <c r="DM35" s="450"/>
      <c r="DN35" s="449"/>
      <c r="DO35" s="449"/>
      <c r="DP35" s="449"/>
      <c r="DQ35" s="450"/>
      <c r="DR35" s="91"/>
      <c r="DS35" s="91"/>
      <c r="DT35" s="91"/>
      <c r="DU35" s="91"/>
      <c r="DV35" s="91"/>
      <c r="DW35" s="91"/>
      <c r="DX35" s="91"/>
      <c r="DY35" s="91"/>
    </row>
    <row r="36" spans="1:129" s="459" customFormat="1" ht="27" customHeight="1" x14ac:dyDescent="0.3">
      <c r="A36" s="330"/>
      <c r="B36" s="318"/>
      <c r="C36" s="318"/>
      <c r="D36" s="318"/>
      <c r="E36" s="318"/>
      <c r="F36" s="318"/>
      <c r="G36" s="318"/>
      <c r="H36" s="318"/>
      <c r="I36" s="318"/>
      <c r="J36" s="318"/>
      <c r="K36" s="318"/>
      <c r="L36" s="318"/>
      <c r="M36" s="331"/>
      <c r="N36" s="331"/>
      <c r="O36" s="331"/>
      <c r="P36" s="318"/>
      <c r="Q36" s="318"/>
      <c r="R36" s="333"/>
      <c r="S36" s="318"/>
      <c r="T36" s="318"/>
      <c r="U36" s="318"/>
      <c r="V36" s="318"/>
      <c r="W36" s="318"/>
      <c r="X36" s="318"/>
      <c r="Y36" s="318"/>
      <c r="Z36" s="318"/>
      <c r="AA36" s="318"/>
      <c r="AB36" s="458">
        <f t="shared" si="47"/>
        <v>0</v>
      </c>
      <c r="AC36" s="331"/>
      <c r="AD36" s="511">
        <f t="shared" si="43"/>
        <v>0</v>
      </c>
      <c r="AE36" s="516">
        <f t="shared" si="44"/>
        <v>0</v>
      </c>
      <c r="AF36" s="511">
        <f t="shared" si="45"/>
        <v>0</v>
      </c>
      <c r="AG36" s="516">
        <f t="shared" si="46"/>
        <v>0</v>
      </c>
      <c r="AH36" s="511">
        <f>HLOOKUP($C$1,'Inflation Adjustments'!$BI$3:$BT$4,2)*BN36</f>
        <v>0</v>
      </c>
      <c r="AI36" s="511">
        <f>IF(AR36="In-Service",'Maintenace Cost Assumptions'!B$5*('Sealed Roads'!BK36+'Sealed Roads'!BL36+'Sealed Roads'!BM36),0)</f>
        <v>0</v>
      </c>
      <c r="AJ36" s="318"/>
      <c r="AK36" s="318"/>
      <c r="AL36" s="318"/>
      <c r="AM36" s="318"/>
      <c r="AN36" s="318"/>
      <c r="AO36" s="318"/>
      <c r="AP36" s="318"/>
      <c r="AQ36" s="455"/>
      <c r="AR36" s="454"/>
      <c r="AS36" s="282"/>
      <c r="AT36" s="282"/>
      <c r="AU36" s="282"/>
      <c r="AV36" s="91"/>
      <c r="AW36" s="91"/>
      <c r="AX36" s="91"/>
      <c r="AY36" s="91"/>
      <c r="AZ36" s="91"/>
      <c r="BA36" s="91"/>
      <c r="BB36" s="91"/>
      <c r="BC36" s="91"/>
      <c r="BD36" s="91"/>
      <c r="BE36" s="91"/>
      <c r="BF36" s="91"/>
      <c r="BG36" s="91"/>
      <c r="BH36" s="91"/>
      <c r="BI36" s="340"/>
      <c r="BJ36" s="340"/>
      <c r="BK36" s="340"/>
      <c r="BL36" s="340"/>
      <c r="BM36" s="340"/>
      <c r="BN36" s="341"/>
      <c r="BO36" s="341"/>
      <c r="BP36" s="341"/>
      <c r="BQ36" s="341"/>
      <c r="BR36" s="341"/>
      <c r="BS36" s="341"/>
      <c r="BT36" s="341"/>
      <c r="BU36" s="448"/>
      <c r="BV36" s="93"/>
      <c r="BW36" s="448"/>
      <c r="BX36" s="448"/>
      <c r="BY36" s="448"/>
      <c r="BZ36" s="93"/>
      <c r="CA36" s="449"/>
      <c r="CB36" s="340"/>
      <c r="CC36" s="340"/>
      <c r="CD36" s="340"/>
      <c r="CE36" s="340"/>
      <c r="CF36" s="340"/>
      <c r="CG36" s="449"/>
      <c r="CH36" s="340"/>
      <c r="CI36" s="340"/>
      <c r="CJ36" s="340"/>
      <c r="CK36" s="340"/>
      <c r="CL36" s="341"/>
      <c r="CM36" s="449"/>
      <c r="CN36" s="340"/>
      <c r="CO36" s="340"/>
      <c r="CP36" s="340"/>
      <c r="CQ36" s="340"/>
      <c r="CR36" s="341"/>
      <c r="CS36" s="449"/>
      <c r="CT36" s="449"/>
      <c r="CU36" s="341"/>
      <c r="CV36" s="449"/>
      <c r="CW36" s="449"/>
      <c r="CX36" s="341"/>
      <c r="CY36" s="450"/>
      <c r="CZ36" s="450"/>
      <c r="DA36" s="340"/>
      <c r="DB36" s="450"/>
      <c r="DC36" s="450"/>
      <c r="DD36" s="341"/>
      <c r="DE36" s="91"/>
      <c r="DF36" s="450"/>
      <c r="DG36" s="450"/>
      <c r="DH36" s="340"/>
      <c r="DI36" s="450"/>
      <c r="DJ36" s="450"/>
      <c r="DK36" s="341"/>
      <c r="DL36" s="450"/>
      <c r="DM36" s="450"/>
      <c r="DN36" s="449"/>
      <c r="DO36" s="449"/>
      <c r="DP36" s="449"/>
      <c r="DQ36" s="450"/>
      <c r="DR36" s="91"/>
      <c r="DS36" s="91"/>
      <c r="DT36" s="91"/>
      <c r="DU36" s="91"/>
      <c r="DV36" s="91"/>
      <c r="DW36" s="91"/>
      <c r="DX36" s="91"/>
      <c r="DY36" s="91"/>
    </row>
    <row r="37" spans="1:129" s="459" customFormat="1" ht="27" customHeight="1" x14ac:dyDescent="0.3">
      <c r="A37" s="330"/>
      <c r="B37" s="318"/>
      <c r="C37" s="318"/>
      <c r="D37" s="318"/>
      <c r="E37" s="318"/>
      <c r="F37" s="318"/>
      <c r="G37" s="318"/>
      <c r="H37" s="318"/>
      <c r="I37" s="318"/>
      <c r="J37" s="318"/>
      <c r="K37" s="318"/>
      <c r="L37" s="318"/>
      <c r="M37" s="331"/>
      <c r="N37" s="331"/>
      <c r="O37" s="331"/>
      <c r="P37" s="318"/>
      <c r="Q37" s="318"/>
      <c r="R37" s="333"/>
      <c r="S37" s="318"/>
      <c r="T37" s="318"/>
      <c r="U37" s="318"/>
      <c r="V37" s="318"/>
      <c r="W37" s="318"/>
      <c r="X37" s="318"/>
      <c r="Y37" s="318"/>
      <c r="Z37" s="318"/>
      <c r="AA37" s="318"/>
      <c r="AB37" s="458">
        <f t="shared" si="47"/>
        <v>0</v>
      </c>
      <c r="AC37" s="331"/>
      <c r="AD37" s="511">
        <f t="shared" si="43"/>
        <v>0</v>
      </c>
      <c r="AE37" s="516">
        <f t="shared" si="44"/>
        <v>0</v>
      </c>
      <c r="AF37" s="511">
        <f t="shared" si="45"/>
        <v>0</v>
      </c>
      <c r="AG37" s="516">
        <f t="shared" si="46"/>
        <v>0</v>
      </c>
      <c r="AH37" s="511">
        <f>HLOOKUP($C$1,'Inflation Adjustments'!$BI$3:$BT$4,2)*BN37</f>
        <v>0</v>
      </c>
      <c r="AI37" s="511">
        <f>IF(AR37="In-Service",'Maintenace Cost Assumptions'!B$5*('Sealed Roads'!BK37+'Sealed Roads'!BL37+'Sealed Roads'!BM37),0)</f>
        <v>0</v>
      </c>
      <c r="AJ37" s="318"/>
      <c r="AK37" s="318"/>
      <c r="AL37" s="318"/>
      <c r="AM37" s="318"/>
      <c r="AN37" s="318"/>
      <c r="AO37" s="318"/>
      <c r="AP37" s="318"/>
      <c r="AQ37" s="455"/>
      <c r="AR37" s="454"/>
      <c r="AS37" s="282"/>
      <c r="AT37" s="282"/>
      <c r="AU37" s="282"/>
      <c r="AV37" s="91"/>
      <c r="AW37" s="91"/>
      <c r="AX37" s="91"/>
      <c r="AY37" s="91"/>
      <c r="AZ37" s="91"/>
      <c r="BA37" s="91"/>
      <c r="BB37" s="91"/>
      <c r="BC37" s="91"/>
      <c r="BD37" s="91"/>
      <c r="BE37" s="91"/>
      <c r="BF37" s="91"/>
      <c r="BG37" s="91"/>
      <c r="BH37" s="91"/>
      <c r="BI37" s="340"/>
      <c r="BJ37" s="340"/>
      <c r="BK37" s="340"/>
      <c r="BL37" s="340"/>
      <c r="BM37" s="340"/>
      <c r="BN37" s="341"/>
      <c r="BO37" s="341"/>
      <c r="BP37" s="341"/>
      <c r="BQ37" s="341"/>
      <c r="BR37" s="341"/>
      <c r="BS37" s="341"/>
      <c r="BT37" s="341"/>
      <c r="BU37" s="448"/>
      <c r="BV37" s="93"/>
      <c r="BW37" s="448"/>
      <c r="BX37" s="448"/>
      <c r="BY37" s="448"/>
      <c r="BZ37" s="93"/>
      <c r="CA37" s="449"/>
      <c r="CB37" s="340"/>
      <c r="CC37" s="340"/>
      <c r="CD37" s="340"/>
      <c r="CE37" s="340"/>
      <c r="CF37" s="340"/>
      <c r="CG37" s="449"/>
      <c r="CH37" s="340"/>
      <c r="CI37" s="340"/>
      <c r="CJ37" s="340"/>
      <c r="CK37" s="340"/>
      <c r="CL37" s="341"/>
      <c r="CM37" s="449"/>
      <c r="CN37" s="340"/>
      <c r="CO37" s="340"/>
      <c r="CP37" s="340"/>
      <c r="CQ37" s="340"/>
      <c r="CR37" s="341"/>
      <c r="CS37" s="449"/>
      <c r="CT37" s="449"/>
      <c r="CU37" s="341"/>
      <c r="CV37" s="449"/>
      <c r="CW37" s="449"/>
      <c r="CX37" s="341"/>
      <c r="CY37" s="450"/>
      <c r="CZ37" s="450"/>
      <c r="DA37" s="340"/>
      <c r="DB37" s="450"/>
      <c r="DC37" s="450"/>
      <c r="DD37" s="341"/>
      <c r="DE37" s="91"/>
      <c r="DF37" s="450"/>
      <c r="DG37" s="450"/>
      <c r="DH37" s="340"/>
      <c r="DI37" s="450"/>
      <c r="DJ37" s="450"/>
      <c r="DK37" s="341"/>
      <c r="DL37" s="450"/>
      <c r="DM37" s="450"/>
      <c r="DN37" s="449"/>
      <c r="DO37" s="449"/>
      <c r="DP37" s="449"/>
      <c r="DQ37" s="450"/>
      <c r="DR37" s="91"/>
      <c r="DS37" s="91"/>
      <c r="DT37" s="91"/>
      <c r="DU37" s="91"/>
      <c r="DV37" s="91"/>
      <c r="DW37" s="91"/>
      <c r="DX37" s="91"/>
      <c r="DY37" s="91"/>
    </row>
    <row r="38" spans="1:129" s="459" customFormat="1" ht="27" customHeight="1" x14ac:dyDescent="0.3">
      <c r="A38" s="330"/>
      <c r="B38" s="318"/>
      <c r="C38" s="318"/>
      <c r="D38" s="318"/>
      <c r="E38" s="318"/>
      <c r="F38" s="318"/>
      <c r="G38" s="318"/>
      <c r="H38" s="318"/>
      <c r="I38" s="318"/>
      <c r="J38" s="318"/>
      <c r="K38" s="318"/>
      <c r="L38" s="318"/>
      <c r="M38" s="331"/>
      <c r="N38" s="331"/>
      <c r="O38" s="331"/>
      <c r="P38" s="318"/>
      <c r="Q38" s="318"/>
      <c r="R38" s="333"/>
      <c r="S38" s="318"/>
      <c r="T38" s="318"/>
      <c r="U38" s="318"/>
      <c r="V38" s="318"/>
      <c r="W38" s="318"/>
      <c r="X38" s="318"/>
      <c r="Y38" s="318"/>
      <c r="Z38" s="318"/>
      <c r="AA38" s="318"/>
      <c r="AB38" s="458"/>
      <c r="AC38" s="331"/>
      <c r="AD38" s="413"/>
      <c r="AE38" s="458"/>
      <c r="AF38" s="413"/>
      <c r="AG38" s="458"/>
      <c r="AH38" s="413"/>
      <c r="AI38" s="413"/>
      <c r="AJ38" s="318"/>
      <c r="AK38" s="318"/>
      <c r="AL38" s="318"/>
      <c r="AM38" s="318"/>
      <c r="AN38" s="318"/>
      <c r="AO38" s="318"/>
      <c r="AP38" s="318"/>
      <c r="AQ38" s="455"/>
      <c r="AR38" s="454"/>
      <c r="AS38" s="282"/>
      <c r="AT38" s="282"/>
      <c r="AU38" s="282"/>
      <c r="AV38" s="91"/>
      <c r="AW38" s="91"/>
      <c r="AX38" s="91"/>
      <c r="AY38" s="91"/>
      <c r="AZ38" s="91"/>
      <c r="BA38" s="91"/>
      <c r="BB38" s="91"/>
      <c r="BC38" s="91"/>
      <c r="BD38" s="91"/>
      <c r="BE38" s="91"/>
      <c r="BF38" s="91"/>
      <c r="BG38" s="91"/>
      <c r="BH38" s="91"/>
      <c r="BI38" s="460"/>
      <c r="BJ38" s="460"/>
      <c r="BK38" s="460"/>
      <c r="BL38" s="460"/>
      <c r="BM38" s="460"/>
      <c r="BN38" s="341"/>
      <c r="BO38" s="341"/>
      <c r="BP38" s="341"/>
      <c r="BQ38" s="341"/>
      <c r="BR38" s="341"/>
      <c r="BS38" s="341"/>
      <c r="BT38" s="341"/>
      <c r="BU38" s="448"/>
      <c r="BV38" s="93"/>
      <c r="BW38" s="448"/>
      <c r="BX38" s="448"/>
      <c r="BY38" s="448"/>
      <c r="BZ38" s="93"/>
      <c r="CA38" s="461"/>
      <c r="CB38" s="460"/>
      <c r="CC38" s="460"/>
      <c r="CD38" s="460"/>
      <c r="CE38" s="460"/>
      <c r="CF38" s="460"/>
      <c r="CG38" s="461"/>
      <c r="CH38" s="460"/>
      <c r="CI38" s="460"/>
      <c r="CJ38" s="460"/>
      <c r="CK38" s="460"/>
      <c r="CL38" s="341"/>
      <c r="CM38" s="461"/>
      <c r="CN38" s="460"/>
      <c r="CO38" s="460"/>
      <c r="CP38" s="460"/>
      <c r="CQ38" s="460"/>
      <c r="CR38" s="341"/>
      <c r="CS38" s="461"/>
      <c r="CT38" s="461"/>
      <c r="CU38" s="341"/>
      <c r="CV38" s="461"/>
      <c r="CW38" s="461"/>
      <c r="CX38" s="341"/>
      <c r="CY38" s="450"/>
      <c r="CZ38" s="450"/>
      <c r="DA38" s="460"/>
      <c r="DB38" s="450"/>
      <c r="DC38" s="450"/>
      <c r="DD38" s="341"/>
      <c r="DE38" s="91"/>
      <c r="DF38" s="450"/>
      <c r="DG38" s="450"/>
      <c r="DH38" s="460"/>
      <c r="DI38" s="450"/>
      <c r="DJ38" s="450"/>
      <c r="DK38" s="341"/>
      <c r="DL38" s="450"/>
      <c r="DM38" s="450"/>
      <c r="DN38" s="461"/>
      <c r="DO38" s="461"/>
      <c r="DP38" s="461"/>
      <c r="DQ38" s="450"/>
      <c r="DR38" s="91"/>
      <c r="DS38" s="91"/>
      <c r="DT38" s="91"/>
      <c r="DU38" s="91"/>
      <c r="DV38" s="91"/>
      <c r="DW38" s="91"/>
      <c r="DX38" s="91"/>
      <c r="DY38" s="91"/>
    </row>
    <row r="39" spans="1:129" s="459" customFormat="1" ht="27" customHeight="1" x14ac:dyDescent="0.3">
      <c r="A39" s="330"/>
      <c r="B39" s="318"/>
      <c r="C39" s="318"/>
      <c r="D39" s="318"/>
      <c r="E39" s="318"/>
      <c r="F39" s="318"/>
      <c r="G39" s="318"/>
      <c r="H39" s="318"/>
      <c r="I39" s="318"/>
      <c r="J39" s="318"/>
      <c r="K39" s="318"/>
      <c r="L39" s="318"/>
      <c r="M39" s="331"/>
      <c r="N39" s="331"/>
      <c r="O39" s="331"/>
      <c r="P39" s="318"/>
      <c r="Q39" s="318"/>
      <c r="R39" s="333"/>
      <c r="S39" s="318"/>
      <c r="T39" s="318"/>
      <c r="U39" s="318"/>
      <c r="V39" s="318"/>
      <c r="W39" s="318"/>
      <c r="X39" s="318"/>
      <c r="Y39" s="318"/>
      <c r="Z39" s="318"/>
      <c r="AA39" s="318"/>
      <c r="AB39" s="458"/>
      <c r="AC39" s="331"/>
      <c r="AD39" s="413"/>
      <c r="AE39" s="458"/>
      <c r="AF39" s="413"/>
      <c r="AG39" s="458"/>
      <c r="AH39" s="413"/>
      <c r="AI39" s="413"/>
      <c r="AJ39" s="318"/>
      <c r="AK39" s="318"/>
      <c r="AL39" s="318"/>
      <c r="AM39" s="318"/>
      <c r="AN39" s="318"/>
      <c r="AO39" s="318"/>
      <c r="AP39" s="318"/>
      <c r="AQ39" s="455"/>
      <c r="AR39" s="454"/>
      <c r="AS39" s="282"/>
      <c r="AT39" s="282"/>
      <c r="AU39" s="282"/>
      <c r="AV39" s="91"/>
      <c r="AW39" s="91"/>
      <c r="AX39" s="91"/>
      <c r="AY39" s="91"/>
      <c r="AZ39" s="91"/>
      <c r="BA39" s="91"/>
      <c r="BB39" s="91"/>
      <c r="BC39" s="91"/>
      <c r="BD39" s="91"/>
      <c r="BE39" s="91"/>
      <c r="BF39" s="91"/>
      <c r="BG39" s="91"/>
      <c r="BH39" s="91"/>
      <c r="BI39" s="460"/>
      <c r="BJ39" s="460"/>
      <c r="BK39" s="460"/>
      <c r="BL39" s="460"/>
      <c r="BM39" s="460"/>
      <c r="BN39" s="341"/>
      <c r="BO39" s="341"/>
      <c r="BP39" s="341"/>
      <c r="BQ39" s="341"/>
      <c r="BR39" s="341"/>
      <c r="BS39" s="341"/>
      <c r="BT39" s="341"/>
      <c r="BU39" s="448"/>
      <c r="BV39" s="93"/>
      <c r="BW39" s="448"/>
      <c r="BX39" s="448"/>
      <c r="BY39" s="448"/>
      <c r="BZ39" s="93"/>
      <c r="CA39" s="461"/>
      <c r="CB39" s="460"/>
      <c r="CC39" s="460"/>
      <c r="CD39" s="460"/>
      <c r="CE39" s="460"/>
      <c r="CF39" s="460"/>
      <c r="CG39" s="461"/>
      <c r="CH39" s="460"/>
      <c r="CI39" s="460"/>
      <c r="CJ39" s="460"/>
      <c r="CK39" s="460"/>
      <c r="CL39" s="341"/>
      <c r="CM39" s="461"/>
      <c r="CN39" s="460"/>
      <c r="CO39" s="460"/>
      <c r="CP39" s="460"/>
      <c r="CQ39" s="460"/>
      <c r="CR39" s="341"/>
      <c r="CS39" s="461"/>
      <c r="CT39" s="461"/>
      <c r="CU39" s="341"/>
      <c r="CV39" s="461"/>
      <c r="CW39" s="461"/>
      <c r="CX39" s="341"/>
      <c r="CY39" s="450"/>
      <c r="CZ39" s="450"/>
      <c r="DA39" s="460"/>
      <c r="DB39" s="450"/>
      <c r="DC39" s="450"/>
      <c r="DD39" s="341"/>
      <c r="DE39" s="91"/>
      <c r="DF39" s="450"/>
      <c r="DG39" s="450"/>
      <c r="DH39" s="460"/>
      <c r="DI39" s="450"/>
      <c r="DJ39" s="450"/>
      <c r="DK39" s="341"/>
      <c r="DL39" s="450"/>
      <c r="DM39" s="450"/>
      <c r="DN39" s="461"/>
      <c r="DO39" s="461"/>
      <c r="DP39" s="461"/>
      <c r="DQ39" s="450"/>
      <c r="DR39" s="91"/>
      <c r="DS39" s="91"/>
      <c r="DT39" s="91"/>
      <c r="DU39" s="91"/>
      <c r="DV39" s="91"/>
      <c r="DW39" s="91"/>
      <c r="DX39" s="91"/>
      <c r="DY39" s="91"/>
    </row>
    <row r="40" spans="1:129" ht="20" customHeight="1" x14ac:dyDescent="0.3">
      <c r="C40" s="462"/>
      <c r="D40" s="462"/>
      <c r="E40" s="462"/>
      <c r="F40" s="462"/>
      <c r="G40" s="462"/>
      <c r="H40" s="462"/>
      <c r="I40" s="462"/>
      <c r="J40" s="462"/>
      <c r="K40" s="462"/>
      <c r="L40" s="462"/>
      <c r="M40" s="462"/>
      <c r="N40" s="462"/>
      <c r="O40" s="462"/>
      <c r="P40" s="462"/>
      <c r="Q40" s="462"/>
      <c r="R40" s="462"/>
      <c r="S40" s="462"/>
      <c r="T40" s="462"/>
      <c r="U40" s="463"/>
      <c r="V40" s="463"/>
      <c r="W40" s="463"/>
      <c r="X40" s="463"/>
      <c r="Y40" s="463"/>
      <c r="Z40" s="463"/>
      <c r="AA40" s="463"/>
      <c r="AB40" s="463"/>
      <c r="AC40" s="463"/>
      <c r="AD40" s="463"/>
      <c r="AE40" s="463"/>
      <c r="AF40" s="463"/>
      <c r="AG40" s="463"/>
      <c r="AH40" s="463"/>
      <c r="AJ40" s="463"/>
      <c r="AK40" s="463"/>
      <c r="AL40" s="463"/>
      <c r="AM40" s="463"/>
      <c r="AN40" s="463"/>
      <c r="AO40" s="463"/>
      <c r="CX40" s="341">
        <f>SUM(CX5:CX29)</f>
        <v>2929018.8205698654</v>
      </c>
    </row>
    <row r="41" spans="1:129" ht="20" customHeight="1" x14ac:dyDescent="0.3">
      <c r="C41" s="462"/>
      <c r="D41" s="462"/>
      <c r="E41" s="462"/>
      <c r="F41" s="462"/>
      <c r="G41" s="462"/>
      <c r="H41" s="462"/>
      <c r="I41" s="462"/>
      <c r="J41" s="462"/>
      <c r="K41" s="462"/>
      <c r="L41" s="462"/>
      <c r="M41" s="462"/>
      <c r="N41" s="462"/>
      <c r="O41" s="462"/>
      <c r="P41" s="462"/>
      <c r="Q41" s="462"/>
      <c r="R41" s="462">
        <f>SUM(R5:R17)</f>
        <v>17800</v>
      </c>
      <c r="S41" s="462"/>
      <c r="T41" s="462"/>
      <c r="U41" s="463"/>
      <c r="V41" s="463"/>
      <c r="W41" s="463"/>
      <c r="X41" s="463"/>
      <c r="Y41" s="463"/>
      <c r="Z41" s="463"/>
      <c r="AA41" s="463"/>
      <c r="AB41" s="463"/>
      <c r="AC41" s="463"/>
      <c r="AD41" s="463"/>
      <c r="AE41" s="463"/>
      <c r="AF41" s="463"/>
      <c r="AG41" s="463"/>
      <c r="AH41" s="463"/>
      <c r="AI41" s="463"/>
      <c r="AJ41" s="463"/>
      <c r="AK41" s="463"/>
      <c r="AL41" s="463"/>
      <c r="AM41" s="463"/>
      <c r="AN41" s="463"/>
      <c r="AO41" s="463"/>
      <c r="AP41" s="464">
        <f>AVERAGE(AP5:AP29)</f>
        <v>0.52560000000000018</v>
      </c>
      <c r="AQ41" s="464"/>
      <c r="AR41" s="464"/>
    </row>
    <row r="42" spans="1:129" ht="20" customHeight="1" x14ac:dyDescent="0.3">
      <c r="C42" s="462"/>
      <c r="D42" s="462"/>
      <c r="E42" s="462"/>
      <c r="F42" s="462"/>
      <c r="G42" s="462"/>
      <c r="H42" s="462"/>
      <c r="I42" s="462"/>
      <c r="J42" s="462"/>
      <c r="K42" s="462"/>
      <c r="L42" s="462"/>
      <c r="M42" s="462"/>
      <c r="N42" s="462"/>
      <c r="O42" s="462"/>
      <c r="P42" s="462"/>
      <c r="Q42" s="462"/>
      <c r="R42" s="462"/>
      <c r="S42" s="462"/>
      <c r="T42" s="462"/>
      <c r="U42" s="463"/>
      <c r="V42" s="463"/>
      <c r="W42" s="463"/>
      <c r="X42" s="463"/>
      <c r="Y42" s="463"/>
      <c r="Z42" s="463"/>
      <c r="AA42" s="463"/>
      <c r="AB42" s="463"/>
      <c r="AC42" s="463"/>
      <c r="AD42" s="463"/>
      <c r="AE42" s="463"/>
      <c r="AF42" s="463"/>
      <c r="AG42" s="463"/>
      <c r="AH42" s="463"/>
      <c r="AI42" s="463"/>
      <c r="AJ42" s="463"/>
      <c r="AK42" s="463"/>
      <c r="AL42" s="463"/>
      <c r="AM42" s="463"/>
      <c r="AN42" s="463"/>
      <c r="AO42" s="463"/>
    </row>
    <row r="43" spans="1:129" x14ac:dyDescent="0.3">
      <c r="C43" s="462"/>
      <c r="D43" s="462"/>
      <c r="E43" s="462"/>
      <c r="F43" s="462"/>
      <c r="G43" s="462"/>
      <c r="H43" s="462"/>
      <c r="I43" s="462"/>
      <c r="J43" s="462"/>
      <c r="K43" s="462"/>
      <c r="L43" s="462"/>
      <c r="M43" s="462"/>
      <c r="N43" s="462"/>
      <c r="O43" s="462"/>
      <c r="P43" s="462"/>
      <c r="Q43" s="462"/>
      <c r="R43" s="462"/>
      <c r="S43" s="462"/>
      <c r="T43" s="462"/>
      <c r="U43" s="463"/>
      <c r="V43" s="463"/>
      <c r="W43" s="463"/>
      <c r="X43" s="463"/>
      <c r="Y43" s="463"/>
      <c r="Z43" s="463"/>
      <c r="AA43" s="463"/>
      <c r="AB43" s="463"/>
      <c r="AC43" s="463"/>
      <c r="AD43" s="463"/>
      <c r="AE43" s="463"/>
      <c r="AF43" s="463"/>
      <c r="AG43" s="463"/>
      <c r="AH43" s="463"/>
      <c r="AI43" s="463"/>
      <c r="AJ43" s="463"/>
      <c r="AK43" s="463"/>
      <c r="AL43" s="463"/>
      <c r="AM43" s="463"/>
      <c r="AN43" s="463"/>
      <c r="AO43" s="463"/>
    </row>
    <row r="44" spans="1:129" x14ac:dyDescent="0.3">
      <c r="C44" s="462"/>
      <c r="D44" s="462"/>
      <c r="E44" s="462"/>
      <c r="F44" s="462"/>
      <c r="G44" s="462"/>
      <c r="H44" s="462"/>
      <c r="I44" s="462"/>
      <c r="J44" s="462"/>
      <c r="K44" s="462"/>
      <c r="L44" s="462"/>
      <c r="M44" s="462"/>
      <c r="N44" s="462"/>
      <c r="O44" s="462"/>
      <c r="P44" s="462"/>
      <c r="Q44" s="462"/>
      <c r="R44" s="465"/>
      <c r="S44" s="462"/>
      <c r="T44" s="462"/>
      <c r="U44" s="463"/>
      <c r="V44" s="463"/>
      <c r="W44" s="463"/>
      <c r="X44" s="463"/>
      <c r="Y44" s="463"/>
      <c r="Z44" s="463"/>
      <c r="AA44" s="463"/>
      <c r="AB44" s="465">
        <f>SUM(AB5:AB26)</f>
        <v>7439739.468120615</v>
      </c>
      <c r="AD44" s="465">
        <f t="shared" ref="AD44:AI44" si="48">SUM(AD5:AD26)</f>
        <v>5739357.9611599753</v>
      </c>
      <c r="AE44" s="465">
        <f t="shared" si="48"/>
        <v>1700381.5069606421</v>
      </c>
      <c r="AF44" s="465">
        <f t="shared" si="48"/>
        <v>28981.684643034183</v>
      </c>
      <c r="AG44" s="465">
        <f t="shared" si="48"/>
        <v>1671399.8223176077</v>
      </c>
      <c r="AH44" s="465">
        <f t="shared" si="48"/>
        <v>41110107.456337504</v>
      </c>
      <c r="AI44" s="465">
        <f t="shared" si="48"/>
        <v>147658.55000000002</v>
      </c>
      <c r="AM44" s="468"/>
      <c r="AP44" s="365">
        <v>0</v>
      </c>
      <c r="BK44" s="341"/>
      <c r="BL44" s="341"/>
    </row>
    <row r="45" spans="1:129" x14ac:dyDescent="0.3">
      <c r="C45" s="462"/>
      <c r="D45" s="462"/>
      <c r="E45" s="462"/>
      <c r="F45" s="462"/>
      <c r="G45" s="462"/>
      <c r="H45" s="462"/>
      <c r="I45" s="462"/>
      <c r="J45" s="462"/>
      <c r="K45" s="462"/>
      <c r="L45" s="462"/>
      <c r="M45" s="462"/>
      <c r="N45" s="462"/>
      <c r="O45" s="462"/>
      <c r="P45" s="462"/>
      <c r="Q45" s="462"/>
      <c r="R45" s="462"/>
      <c r="S45" s="462"/>
      <c r="T45" s="462"/>
      <c r="U45" s="463"/>
      <c r="V45" s="463"/>
      <c r="W45" s="463"/>
      <c r="X45" s="463"/>
      <c r="Y45" s="463"/>
      <c r="Z45" s="463"/>
      <c r="AA45" s="463"/>
      <c r="AH45" s="91"/>
      <c r="AI45" s="91"/>
      <c r="AM45" s="468"/>
      <c r="AP45" s="365">
        <v>0</v>
      </c>
      <c r="BL45" s="341"/>
    </row>
    <row r="46" spans="1:129" x14ac:dyDescent="0.3">
      <c r="C46" s="462"/>
      <c r="D46" s="462"/>
      <c r="E46" s="462"/>
      <c r="F46" s="462"/>
      <c r="G46" s="462"/>
      <c r="H46" s="462"/>
      <c r="I46" s="462"/>
      <c r="J46" s="462"/>
      <c r="K46" s="462"/>
      <c r="L46" s="462"/>
      <c r="M46" s="462"/>
      <c r="N46" s="462"/>
      <c r="O46" s="462"/>
      <c r="P46" s="462"/>
      <c r="Q46" s="462"/>
      <c r="R46" s="462"/>
      <c r="S46" s="462"/>
      <c r="T46" s="462"/>
      <c r="U46" s="463"/>
      <c r="V46" s="463"/>
      <c r="W46" s="463"/>
      <c r="X46" s="463"/>
      <c r="Y46" s="463"/>
      <c r="Z46" s="463"/>
      <c r="AA46" s="463"/>
      <c r="AM46" s="468"/>
      <c r="AP46" s="365">
        <v>21</v>
      </c>
    </row>
    <row r="47" spans="1:129" x14ac:dyDescent="0.3">
      <c r="C47" s="462"/>
      <c r="D47" s="462"/>
      <c r="E47" s="462"/>
      <c r="F47" s="462"/>
      <c r="G47" s="462"/>
      <c r="H47" s="462"/>
      <c r="I47" s="462"/>
      <c r="J47" s="462"/>
      <c r="K47" s="462"/>
      <c r="L47" s="462"/>
      <c r="M47" s="462"/>
      <c r="N47" s="462"/>
      <c r="O47" s="462"/>
      <c r="P47" s="462"/>
      <c r="Q47" s="462"/>
      <c r="R47" s="462"/>
      <c r="S47" s="462"/>
      <c r="T47" s="462"/>
      <c r="U47" s="463"/>
      <c r="V47" s="463"/>
      <c r="W47" s="463"/>
      <c r="X47" s="463"/>
      <c r="Y47" s="463"/>
      <c r="Z47" s="463"/>
      <c r="AA47" s="463"/>
      <c r="AM47" s="468"/>
      <c r="AP47" s="365">
        <v>4</v>
      </c>
    </row>
    <row r="48" spans="1:129" x14ac:dyDescent="0.3">
      <c r="C48" s="462"/>
      <c r="D48" s="462"/>
      <c r="E48" s="462"/>
      <c r="F48" s="462"/>
      <c r="G48" s="462"/>
      <c r="H48" s="462"/>
      <c r="I48" s="462"/>
      <c r="J48" s="462"/>
      <c r="K48" s="462"/>
      <c r="L48" s="462"/>
      <c r="M48" s="462"/>
      <c r="N48" s="462"/>
      <c r="O48" s="462"/>
      <c r="P48" s="462"/>
      <c r="Q48" s="462"/>
      <c r="R48" s="462"/>
      <c r="S48" s="462"/>
      <c r="T48" s="462"/>
      <c r="U48" s="463"/>
      <c r="V48" s="463"/>
      <c r="W48" s="463"/>
      <c r="X48" s="463"/>
      <c r="Y48" s="463"/>
      <c r="Z48" s="463"/>
      <c r="AA48" s="463"/>
      <c r="AM48" s="468"/>
    </row>
    <row r="49" spans="39:39" x14ac:dyDescent="0.3">
      <c r="AM49" s="468"/>
    </row>
    <row r="50" spans="39:39" x14ac:dyDescent="0.3">
      <c r="AM50" s="468"/>
    </row>
    <row r="51" spans="39:39" x14ac:dyDescent="0.3">
      <c r="AM51" s="468"/>
    </row>
    <row r="52" spans="39:39" x14ac:dyDescent="0.3">
      <c r="AM52" s="468"/>
    </row>
    <row r="53" spans="39:39" x14ac:dyDescent="0.3">
      <c r="AM53" s="468"/>
    </row>
  </sheetData>
  <mergeCells count="36">
    <mergeCell ref="DL3:DQ3"/>
    <mergeCell ref="CM3:CR3"/>
    <mergeCell ref="CS2:DC2"/>
    <mergeCell ref="CS3:CX3"/>
    <mergeCell ref="DF3:DK3"/>
    <mergeCell ref="CA3:CF3"/>
    <mergeCell ref="CY3:DD3"/>
    <mergeCell ref="BV3:BZ3"/>
    <mergeCell ref="CG3:CL3"/>
    <mergeCell ref="CA2:CL2"/>
    <mergeCell ref="BO3:BT3"/>
    <mergeCell ref="AJ3:AN3"/>
    <mergeCell ref="U3:U4"/>
    <mergeCell ref="AZ4:BF4"/>
    <mergeCell ref="AZ7:BF7"/>
    <mergeCell ref="AD3:AD4"/>
    <mergeCell ref="AE3:AE4"/>
    <mergeCell ref="AF3:AF4"/>
    <mergeCell ref="AG3:AG4"/>
    <mergeCell ref="AH3:AH4"/>
    <mergeCell ref="AI3:AI4"/>
    <mergeCell ref="A1:B1"/>
    <mergeCell ref="A2:K2"/>
    <mergeCell ref="L2:T2"/>
    <mergeCell ref="AZ13:BF13"/>
    <mergeCell ref="BI3:BN3"/>
    <mergeCell ref="L3:P3"/>
    <mergeCell ref="AZ10:BF10"/>
    <mergeCell ref="U2:AG2"/>
    <mergeCell ref="AH2:AP2"/>
    <mergeCell ref="Q3:R3"/>
    <mergeCell ref="S3:T3"/>
    <mergeCell ref="V3:W3"/>
    <mergeCell ref="X3:Y3"/>
    <mergeCell ref="AB3:AC3"/>
    <mergeCell ref="AR3:AR4"/>
  </mergeCells>
  <conditionalFormatting sqref="AJ5:AO29">
    <cfRule type="cellIs" dxfId="80" priority="12" operator="equal">
      <formula>1</formula>
    </cfRule>
    <cfRule type="cellIs" dxfId="79" priority="13" operator="equal">
      <formula>2</formula>
    </cfRule>
    <cfRule type="cellIs" dxfId="78" priority="14" operator="equal">
      <formula>3</formula>
    </cfRule>
    <cfRule type="cellIs" dxfId="77" priority="15" operator="greaterThan">
      <formula>3.9</formula>
    </cfRule>
  </conditionalFormatting>
  <conditionalFormatting sqref="AP1:AP2 AP51:AP1048576">
    <cfRule type="cellIs" dxfId="76" priority="6" operator="between">
      <formula>0</formula>
      <formula>0.2</formula>
    </cfRule>
    <cfRule type="cellIs" dxfId="75" priority="7" operator="between">
      <formula>0.21</formula>
      <formula>0.4</formula>
    </cfRule>
    <cfRule type="cellIs" dxfId="74" priority="8" operator="between">
      <formula>0.41</formula>
      <formula>0.6</formula>
    </cfRule>
    <cfRule type="cellIs" dxfId="73" priority="9" operator="greaterThan">
      <formula>0.6</formula>
    </cfRule>
  </conditionalFormatting>
  <conditionalFormatting sqref="AP5:AP33">
    <cfRule type="cellIs" dxfId="72" priority="1" operator="lessThan">
      <formula>0.3</formula>
    </cfRule>
    <cfRule type="cellIs" dxfId="71" priority="2" operator="between">
      <formula>0.3</formula>
      <formula>0.5</formula>
    </cfRule>
    <cfRule type="cellIs" dxfId="70" priority="3" operator="between">
      <formula>0.5</formula>
      <formula>0.6</formula>
    </cfRule>
    <cfRule type="cellIs" dxfId="69" priority="4" operator="greaterThan">
      <formula>0.6</formula>
    </cfRule>
    <cfRule type="cellIs" dxfId="68" priority="5" operator="lessThan">
      <formula>0.5</formula>
    </cfRule>
  </conditionalFormatting>
  <pageMargins left="0.7" right="0.7" top="0.75" bottom="0.75" header="0.3" footer="0.3"/>
  <pageSetup orientation="portrait" horizontalDpi="4294967293" verticalDpi="0" r:id="rId1"/>
  <headerFooter>
    <oddFooter>&amp;C_x000D_&amp;1#&amp;"Calibri"&amp;8&amp;K000000 INTERNAL. This information is accessible to ADB Management and staff. It may be shared outside ADB with appropriate permission.</oddFooter>
  </headerFooter>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AF7595EA-B10B-4187-9154-DE5B72D94476}">
          <x14:formula1>
            <xm:f>'AR-Hierarchy '!$J$120:$J$123</xm:f>
          </x14:formula1>
          <xm:sqref>O26:O39</xm:sqref>
        </x14:dataValidation>
        <x14:dataValidation type="list" allowBlank="1" showInputMessage="1" showErrorMessage="1" xr:uid="{A54B21C3-D1F1-4ED0-9E20-AC73BC1A8A05}">
          <x14:formula1>
            <xm:f>'AR-Hierarchy '!$J$108:$J$110</xm:f>
          </x14:formula1>
          <xm:sqref>L5:L39</xm:sqref>
        </x14:dataValidation>
        <x14:dataValidation type="list" allowBlank="1" showInputMessage="1" showErrorMessage="1" xr:uid="{5DDDCCF0-8298-41E5-8D8C-B68F3F64246B}">
          <x14:formula1>
            <xm:f>'AR-Hierarchy '!$J$112:$J$114</xm:f>
          </x14:formula1>
          <xm:sqref>M5:M39</xm:sqref>
        </x14:dataValidation>
        <x14:dataValidation type="list" allowBlank="1" showInputMessage="1" showErrorMessage="1" xr:uid="{F063A562-5CE5-47C6-9592-399FE7BB710A}">
          <x14:formula1>
            <xm:f>'AR-Hierarchy '!$J$116:$J$118</xm:f>
          </x14:formula1>
          <xm:sqref>N5:N39</xm:sqref>
        </x14:dataValidation>
        <x14:dataValidation type="list" allowBlank="1" showInputMessage="1" showErrorMessage="1" xr:uid="{3247A75D-57B4-45B9-ADB3-97B37631BF01}">
          <x14:formula1>
            <xm:f>'AR-Hierarchy '!$J$120:$J$122</xm:f>
          </x14:formula1>
          <xm:sqref>O5:O25</xm:sqref>
        </x14:dataValidation>
        <x14:dataValidation type="list" allowBlank="1" showInputMessage="1" showErrorMessage="1" xr:uid="{5D2174D5-CB5B-498A-B18F-C028F50AC1A9}">
          <x14:formula1>
            <xm:f>'AR-Hierarchy '!$J$125:$J$135</xm:f>
          </x14:formula1>
          <xm:sqref>P5:P39</xm:sqref>
        </x14:dataValidation>
        <x14:dataValidation type="list" allowBlank="1" showInputMessage="1" showErrorMessage="1" xr:uid="{483D1C72-063B-42ED-B9B1-0999F9AB8AB2}">
          <x14:formula1>
            <xm:f>'AR-Hierarchy '!$D$107:$D$109</xm:f>
          </x14:formula1>
          <xm:sqref>D5:D39</xm:sqref>
        </x14:dataValidation>
        <x14:dataValidation type="list" allowBlank="1" showInputMessage="1" showErrorMessage="1" xr:uid="{C9ADF0D2-2DD8-4AD3-AB49-4D973CAA4889}">
          <x14:formula1>
            <xm:f>'AR-Hierarchy '!$H$107:$H$109</xm:f>
          </x14:formula1>
          <xm:sqref>F5:F26</xm:sqref>
        </x14:dataValidation>
        <x14:dataValidation type="list" allowBlank="1" showInputMessage="1" showErrorMessage="1" xr:uid="{55A20A36-86E6-4B8F-BBB3-A80D5ACFCE5D}">
          <x14:formula1>
            <xm:f>'Condition rating weights'!$C$29:$C$34</xm:f>
          </x14:formula1>
          <xm:sqref>AO6 AJ6:AJ39 AJ5:AO5 AO9:AO10</xm:sqref>
        </x14:dataValidation>
        <x14:dataValidation type="list" allowBlank="1" showInputMessage="1" showErrorMessage="1" xr:uid="{325296CA-41C4-415F-A841-9F9C0F9C81D5}">
          <x14:formula1>
            <xm:f>'AR-Hierarchy '!$B$4:$B$53</xm:f>
          </x14:formula1>
          <xm:sqref>C5:C39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6FB9C-892E-4C99-8487-CA7D61D224F2}">
  <dimension ref="A1:BF37"/>
  <sheetViews>
    <sheetView topLeftCell="AB21" workbookViewId="0">
      <selection activeCell="AE33" sqref="AE33"/>
    </sheetView>
  </sheetViews>
  <sheetFormatPr defaultColWidth="8.81640625" defaultRowHeight="14" x14ac:dyDescent="0.3"/>
  <cols>
    <col min="1" max="35" width="35.6328125" style="365" customWidth="1"/>
    <col min="36" max="36" width="16.54296875" style="91" customWidth="1"/>
    <col min="37" max="50" width="8.81640625" style="91"/>
    <col min="51" max="51" width="8.81640625" style="144"/>
    <col min="52" max="52" width="12.54296875" style="144" bestFit="1" customWidth="1"/>
    <col min="53" max="53" width="9.54296875" style="144" customWidth="1"/>
    <col min="54" max="54" width="16.36328125" style="144" customWidth="1"/>
    <col min="55" max="55" width="10" style="144" customWidth="1"/>
    <col min="56" max="56" width="10.81640625" style="144" customWidth="1"/>
    <col min="57" max="57" width="10.08984375" style="144" customWidth="1"/>
    <col min="58" max="58" width="11.08984375" style="91" customWidth="1"/>
    <col min="59" max="16384" width="8.81640625" style="91"/>
  </cols>
  <sheetData>
    <row r="1" spans="1:58" ht="39" customHeight="1" thickTop="1" x14ac:dyDescent="0.3">
      <c r="A1" s="677" t="s">
        <v>32</v>
      </c>
      <c r="B1" s="678"/>
      <c r="C1" s="387">
        <v>2023</v>
      </c>
    </row>
    <row r="2" spans="1:58" ht="43" customHeight="1" thickBot="1" x14ac:dyDescent="0.35">
      <c r="A2" s="584" t="s">
        <v>1403</v>
      </c>
      <c r="B2" s="585"/>
      <c r="C2" s="585"/>
      <c r="D2" s="585"/>
      <c r="E2" s="585"/>
      <c r="F2" s="585"/>
      <c r="G2" s="585"/>
      <c r="H2" s="585"/>
      <c r="I2" s="585"/>
      <c r="J2" s="585"/>
      <c r="K2" s="585"/>
      <c r="L2" s="585" t="s">
        <v>1404</v>
      </c>
      <c r="M2" s="585"/>
      <c r="N2" s="585"/>
      <c r="O2" s="586"/>
      <c r="P2" s="665" t="s">
        <v>267</v>
      </c>
      <c r="Q2" s="666"/>
      <c r="R2" s="666"/>
      <c r="S2" s="666"/>
      <c r="T2" s="666"/>
      <c r="U2" s="666"/>
      <c r="V2" s="666"/>
      <c r="W2" s="666"/>
      <c r="X2" s="666"/>
      <c r="Y2" s="666"/>
      <c r="Z2" s="666"/>
      <c r="AA2" s="666"/>
      <c r="AB2" s="667"/>
      <c r="AC2" s="665" t="s">
        <v>268</v>
      </c>
      <c r="AD2" s="666"/>
      <c r="AE2" s="666"/>
      <c r="AF2" s="666"/>
      <c r="AG2" s="666"/>
      <c r="AH2" s="666"/>
      <c r="AI2" s="434"/>
      <c r="BA2" s="638" t="s">
        <v>828</v>
      </c>
      <c r="BB2" s="638"/>
      <c r="BC2" s="638"/>
      <c r="BD2" s="638"/>
      <c r="BE2" s="638"/>
      <c r="BF2" s="638"/>
    </row>
    <row r="3" spans="1:58" ht="73" customHeight="1" thickTop="1" x14ac:dyDescent="0.3">
      <c r="A3" s="469" t="s">
        <v>0</v>
      </c>
      <c r="B3" s="435" t="s">
        <v>34</v>
      </c>
      <c r="C3" s="435" t="s">
        <v>250</v>
      </c>
      <c r="D3" s="435" t="s">
        <v>251</v>
      </c>
      <c r="E3" s="435" t="s">
        <v>1</v>
      </c>
      <c r="F3" s="435" t="s">
        <v>2</v>
      </c>
      <c r="G3" s="435" t="s">
        <v>252</v>
      </c>
      <c r="H3" s="435" t="s">
        <v>711</v>
      </c>
      <c r="I3" s="435" t="s">
        <v>712</v>
      </c>
      <c r="J3" s="435" t="s">
        <v>713</v>
      </c>
      <c r="K3" s="435" t="s">
        <v>714</v>
      </c>
      <c r="L3" s="679" t="s">
        <v>255</v>
      </c>
      <c r="M3" s="680"/>
      <c r="N3" s="679" t="s">
        <v>258</v>
      </c>
      <c r="O3" s="680"/>
      <c r="P3" s="673" t="s">
        <v>259</v>
      </c>
      <c r="Q3" s="668" t="s">
        <v>38</v>
      </c>
      <c r="R3" s="669"/>
      <c r="S3" s="668" t="s">
        <v>261</v>
      </c>
      <c r="T3" s="670"/>
      <c r="U3" s="438"/>
      <c r="V3" s="438"/>
      <c r="W3" s="670" t="s">
        <v>262</v>
      </c>
      <c r="X3" s="670"/>
      <c r="Y3" s="670" t="s">
        <v>263</v>
      </c>
      <c r="Z3" s="670" t="s">
        <v>326</v>
      </c>
      <c r="AA3" s="669" t="s">
        <v>33</v>
      </c>
      <c r="AB3" s="673" t="s">
        <v>264</v>
      </c>
      <c r="AC3" s="673" t="s">
        <v>265</v>
      </c>
      <c r="AD3" s="673" t="s">
        <v>266</v>
      </c>
      <c r="AE3" s="470" t="s">
        <v>53</v>
      </c>
      <c r="AF3" s="437" t="s">
        <v>1581</v>
      </c>
      <c r="AG3" s="438"/>
      <c r="AH3" s="436" t="s">
        <v>1442</v>
      </c>
      <c r="AI3" s="671" t="s">
        <v>1428</v>
      </c>
      <c r="AQ3" s="299" t="s">
        <v>809</v>
      </c>
      <c r="AZ3" s="144" t="s">
        <v>1416</v>
      </c>
      <c r="BA3" s="365" t="s">
        <v>262</v>
      </c>
      <c r="BC3" s="144" t="s">
        <v>825</v>
      </c>
      <c r="BD3" s="144" t="s">
        <v>827</v>
      </c>
      <c r="BE3" s="144" t="s">
        <v>826</v>
      </c>
      <c r="BF3" s="290" t="s">
        <v>833</v>
      </c>
    </row>
    <row r="4" spans="1:58" ht="47" customHeight="1" thickBot="1" x14ac:dyDescent="0.35">
      <c r="A4" s="471"/>
      <c r="B4" s="440"/>
      <c r="C4" s="439"/>
      <c r="D4" s="439"/>
      <c r="E4" s="439"/>
      <c r="F4" s="439"/>
      <c r="G4" s="439"/>
      <c r="H4" s="439"/>
      <c r="I4" s="439"/>
      <c r="J4" s="439"/>
      <c r="K4" s="439"/>
      <c r="L4" s="439" t="s">
        <v>256</v>
      </c>
      <c r="M4" s="439" t="s">
        <v>735</v>
      </c>
      <c r="N4" s="439" t="s">
        <v>256</v>
      </c>
      <c r="O4" s="439" t="s">
        <v>736</v>
      </c>
      <c r="P4" s="674"/>
      <c r="Q4" s="439" t="s">
        <v>38</v>
      </c>
      <c r="R4" s="439" t="s">
        <v>260</v>
      </c>
      <c r="S4" s="439" t="s">
        <v>261</v>
      </c>
      <c r="T4" s="439" t="s">
        <v>260</v>
      </c>
      <c r="U4" s="439" t="s">
        <v>715</v>
      </c>
      <c r="V4" s="439" t="s">
        <v>716</v>
      </c>
      <c r="W4" s="439" t="s">
        <v>262</v>
      </c>
      <c r="X4" s="439" t="s">
        <v>260</v>
      </c>
      <c r="Y4" s="675"/>
      <c r="Z4" s="675"/>
      <c r="AA4" s="676"/>
      <c r="AB4" s="674"/>
      <c r="AC4" s="674"/>
      <c r="AD4" s="674"/>
      <c r="AE4" s="472" t="s">
        <v>14</v>
      </c>
      <c r="AF4" s="472"/>
      <c r="AG4" s="472"/>
      <c r="AH4" s="441" t="s">
        <v>37</v>
      </c>
      <c r="AI4" s="672"/>
      <c r="AQ4" s="589" t="s">
        <v>874</v>
      </c>
      <c r="AR4" s="589"/>
      <c r="AS4" s="589"/>
      <c r="AT4" s="589"/>
      <c r="AU4" s="589"/>
      <c r="AV4" s="589"/>
      <c r="AW4" s="589"/>
      <c r="AZ4" s="365" t="s">
        <v>14</v>
      </c>
      <c r="BA4" s="365" t="s">
        <v>14</v>
      </c>
      <c r="BB4" s="365" t="s">
        <v>831</v>
      </c>
      <c r="BC4" s="365" t="s">
        <v>14</v>
      </c>
      <c r="BD4" s="365" t="s">
        <v>14</v>
      </c>
      <c r="BE4" s="365" t="s">
        <v>14</v>
      </c>
      <c r="BF4" s="359" t="s">
        <v>14</v>
      </c>
    </row>
    <row r="5" spans="1:58" ht="30" customHeight="1" thickTop="1" x14ac:dyDescent="0.3">
      <c r="A5" s="312" t="s">
        <v>1310</v>
      </c>
      <c r="B5" s="473" t="s">
        <v>1391</v>
      </c>
      <c r="C5" s="313" t="s">
        <v>1255</v>
      </c>
      <c r="D5" s="313" t="s">
        <v>124</v>
      </c>
      <c r="E5" s="313" t="s">
        <v>873</v>
      </c>
      <c r="F5" s="314" t="s">
        <v>224</v>
      </c>
      <c r="G5" s="313" t="s">
        <v>719</v>
      </c>
      <c r="H5" s="313" t="s">
        <v>731</v>
      </c>
      <c r="I5" s="313" t="s">
        <v>732</v>
      </c>
      <c r="J5" s="313" t="s">
        <v>733</v>
      </c>
      <c r="K5" s="313" t="s">
        <v>734</v>
      </c>
      <c r="L5" s="313" t="s">
        <v>194</v>
      </c>
      <c r="M5" s="377">
        <f>ROUND('Sealed Roads'!R5*0.7,-1)</f>
        <v>780</v>
      </c>
      <c r="N5" s="313" t="s">
        <v>194</v>
      </c>
      <c r="O5" s="313">
        <v>1.2</v>
      </c>
      <c r="P5" s="313">
        <f>'GRC and TUL Assumptions'!E91</f>
        <v>30</v>
      </c>
      <c r="Q5" s="313">
        <v>1972</v>
      </c>
      <c r="R5" s="313" t="s">
        <v>800</v>
      </c>
      <c r="S5" s="313">
        <v>1972</v>
      </c>
      <c r="T5" s="313" t="s">
        <v>800</v>
      </c>
      <c r="U5" s="313"/>
      <c r="V5" s="313"/>
      <c r="W5" s="443">
        <f>BA5</f>
        <v>14741.214756534937</v>
      </c>
      <c r="X5" s="313" t="s">
        <v>800</v>
      </c>
      <c r="Y5" s="510">
        <f>BE5</f>
        <v>14741.214756534937</v>
      </c>
      <c r="Z5" s="515">
        <f>W5-Y5</f>
        <v>0</v>
      </c>
      <c r="AA5" s="510">
        <f>BF5</f>
        <v>0</v>
      </c>
      <c r="AB5" s="515">
        <f>Z5-AA5</f>
        <v>0</v>
      </c>
      <c r="AC5" s="510">
        <f>HLOOKUP($C$1,'Inflation Adjustments'!$BI$3:$BT$4,2)*AZ5</f>
        <v>139723.44749999998</v>
      </c>
      <c r="AD5" s="510">
        <f>IF(AI5="In Service",AC5*'Maintenace Cost Assumptions'!B$14,0)</f>
        <v>1397.2344749999997</v>
      </c>
      <c r="AE5" s="313">
        <v>3</v>
      </c>
      <c r="AF5" s="313">
        <v>4</v>
      </c>
      <c r="AG5" s="474"/>
      <c r="AH5" s="474">
        <f>(AE5*'Condition rating weights'!H$47+AF5*'Condition rating weights'!R$47+AG5*'Condition rating weights'!S$47)/100</f>
        <v>0.64</v>
      </c>
      <c r="AI5" s="446" t="s">
        <v>1430</v>
      </c>
      <c r="AQ5" s="475" t="s">
        <v>1387</v>
      </c>
      <c r="AR5" s="447"/>
      <c r="AS5" s="447"/>
      <c r="AU5" s="290" t="s">
        <v>875</v>
      </c>
      <c r="AY5" s="144" t="str">
        <f t="shared" ref="AY5:AY22" si="0">A5</f>
        <v>FPDT-001</v>
      </c>
      <c r="AZ5" s="383">
        <f t="shared" ref="AZ5:AZ22" si="1">$AQ$6*M5</f>
        <v>93600</v>
      </c>
      <c r="BA5" s="384">
        <f>(HLOOKUP($S5,'Inflation Adjustments'!$M$3:$BT$4,2,TRUE))*AZ5</f>
        <v>14741.214756534937</v>
      </c>
      <c r="BB5" s="384">
        <f t="shared" ref="BB5:BB22" si="2">$C$1-S5-1</f>
        <v>50</v>
      </c>
      <c r="BC5" s="144">
        <f>$AU$6</f>
        <v>30</v>
      </c>
      <c r="BD5" s="383">
        <f>1/BC5*BA5</f>
        <v>491.37382521783121</v>
      </c>
      <c r="BE5" s="383">
        <f>IF(BD5*$BB5&gt;BA5,BA5,BD5*$BB5)</f>
        <v>14741.214756534937</v>
      </c>
      <c r="BF5" s="340">
        <f>IF(BD5&lt;(BA5-BE5),BD5,(BA5-BE5))</f>
        <v>0</v>
      </c>
    </row>
    <row r="6" spans="1:58" ht="30" customHeight="1" x14ac:dyDescent="0.3">
      <c r="A6" s="330" t="s">
        <v>1311</v>
      </c>
      <c r="B6" s="318" t="s">
        <v>1391</v>
      </c>
      <c r="C6" s="318" t="s">
        <v>1255</v>
      </c>
      <c r="D6" s="318" t="s">
        <v>124</v>
      </c>
      <c r="E6" s="318" t="s">
        <v>873</v>
      </c>
      <c r="F6" s="318" t="s">
        <v>224</v>
      </c>
      <c r="G6" s="318" t="s">
        <v>720</v>
      </c>
      <c r="H6" s="318" t="str">
        <f t="shared" ref="H6:I12" si="3">J5</f>
        <v>S   00.50481</v>
      </c>
      <c r="I6" s="318" t="str">
        <f t="shared" si="3"/>
        <v>E 166.94861</v>
      </c>
      <c r="J6" s="318" t="s">
        <v>737</v>
      </c>
      <c r="K6" s="318" t="s">
        <v>738</v>
      </c>
      <c r="L6" s="318" t="s">
        <v>194</v>
      </c>
      <c r="M6" s="333">
        <f>ROUND('Sealed Roads'!R6*0.7,-1)</f>
        <v>1010</v>
      </c>
      <c r="N6" s="318" t="s">
        <v>194</v>
      </c>
      <c r="O6" s="318">
        <v>1.2</v>
      </c>
      <c r="P6" s="318">
        <f>P5</f>
        <v>30</v>
      </c>
      <c r="Q6" s="318">
        <v>1972</v>
      </c>
      <c r="R6" s="318" t="s">
        <v>800</v>
      </c>
      <c r="S6" s="318">
        <v>1972</v>
      </c>
      <c r="T6" s="318" t="s">
        <v>800</v>
      </c>
      <c r="U6" s="318"/>
      <c r="V6" s="318"/>
      <c r="W6" s="452">
        <f>BA6</f>
        <v>19087.98321038498</v>
      </c>
      <c r="X6" s="318" t="s">
        <v>800</v>
      </c>
      <c r="Y6" s="511">
        <f>BE6</f>
        <v>19087.98321038498</v>
      </c>
      <c r="Z6" s="516">
        <f>W6-Y6</f>
        <v>0</v>
      </c>
      <c r="AA6" s="511">
        <f>BF6</f>
        <v>0</v>
      </c>
      <c r="AB6" s="516">
        <f>Z6-AA6</f>
        <v>0</v>
      </c>
      <c r="AC6" s="511">
        <f>HLOOKUP($C$1,'Inflation Adjustments'!$BI$3:$BT$4,2)*AZ6</f>
        <v>180923.95124999998</v>
      </c>
      <c r="AD6" s="511">
        <f>IF(AI6="In Service",AC6*'Maintenace Cost Assumptions'!B$14,0)</f>
        <v>1809.2395124999998</v>
      </c>
      <c r="AE6" s="318">
        <v>3</v>
      </c>
      <c r="AF6" s="318">
        <v>4</v>
      </c>
      <c r="AG6" s="338"/>
      <c r="AH6" s="338">
        <f>(AE6*'Condition rating weights'!H$47+AF6*'Condition rating weights'!R$47+AG6*'Condition rating weights'!S$47)/100</f>
        <v>0.64</v>
      </c>
      <c r="AI6" s="454" t="s">
        <v>1430</v>
      </c>
      <c r="AQ6" s="386">
        <f>'GRC and TUL Assumptions'!C91</f>
        <v>120</v>
      </c>
      <c r="AU6" s="447">
        <f>'GRC and TUL Assumptions'!E91</f>
        <v>30</v>
      </c>
      <c r="AV6" s="447"/>
      <c r="AW6" s="447"/>
      <c r="AY6" s="144" t="str">
        <f t="shared" si="0"/>
        <v>FPDT-002</v>
      </c>
      <c r="AZ6" s="383">
        <f t="shared" si="1"/>
        <v>121200</v>
      </c>
      <c r="BA6" s="384">
        <f>(HLOOKUP($S6,'Inflation Adjustments'!$M$3:$BT$4,2,TRUE))*AZ6</f>
        <v>19087.98321038498</v>
      </c>
      <c r="BB6" s="384">
        <f t="shared" si="2"/>
        <v>50</v>
      </c>
      <c r="BC6" s="144">
        <f t="shared" ref="BC6:BC28" si="4">$AU$6</f>
        <v>30</v>
      </c>
      <c r="BD6" s="383">
        <f t="shared" ref="BD6:BD22" si="5">1/BC6*BA6</f>
        <v>636.26610701283266</v>
      </c>
      <c r="BE6" s="383">
        <f t="shared" ref="BE6:BE22" si="6">IF(BD6*$BB6&gt;BA6,BA6,BD6*$BB6)</f>
        <v>19087.98321038498</v>
      </c>
      <c r="BF6" s="340">
        <f t="shared" ref="BF6:BF22" si="7">IF(BD6&lt;(BA6-BE6),BD6,(BA6-BE6))</f>
        <v>0</v>
      </c>
    </row>
    <row r="7" spans="1:58" ht="30" customHeight="1" x14ac:dyDescent="0.3">
      <c r="A7" s="330" t="s">
        <v>1312</v>
      </c>
      <c r="B7" s="318" t="s">
        <v>1391</v>
      </c>
      <c r="C7" s="318" t="s">
        <v>1255</v>
      </c>
      <c r="D7" s="318" t="s">
        <v>124</v>
      </c>
      <c r="E7" s="318" t="s">
        <v>873</v>
      </c>
      <c r="F7" s="318" t="s">
        <v>224</v>
      </c>
      <c r="G7" s="318" t="s">
        <v>721</v>
      </c>
      <c r="H7" s="318" t="str">
        <f t="shared" si="3"/>
        <v>S   00.51371</v>
      </c>
      <c r="I7" s="318" t="str">
        <f t="shared" si="3"/>
        <v>E 166.95757</v>
      </c>
      <c r="J7" s="318" t="s">
        <v>739</v>
      </c>
      <c r="K7" s="318" t="s">
        <v>740</v>
      </c>
      <c r="L7" s="318" t="s">
        <v>194</v>
      </c>
      <c r="M7" s="333">
        <f>ROUND('Sealed Roads'!R7*0.5,-1)</f>
        <v>620</v>
      </c>
      <c r="N7" s="318" t="s">
        <v>194</v>
      </c>
      <c r="O7" s="318">
        <v>1.2</v>
      </c>
      <c r="P7" s="318">
        <f t="shared" ref="P7:P22" si="8">P6</f>
        <v>30</v>
      </c>
      <c r="Q7" s="318">
        <v>1972</v>
      </c>
      <c r="R7" s="318" t="s">
        <v>800</v>
      </c>
      <c r="S7" s="318">
        <v>1972</v>
      </c>
      <c r="T7" s="318" t="s">
        <v>800</v>
      </c>
      <c r="U7" s="318"/>
      <c r="V7" s="318"/>
      <c r="W7" s="452">
        <f t="shared" ref="W7:W22" si="9">BA7</f>
        <v>11717.375832117514</v>
      </c>
      <c r="X7" s="318" t="s">
        <v>800</v>
      </c>
      <c r="Y7" s="511">
        <f t="shared" ref="Y7:Y22" si="10">BE7</f>
        <v>11717.375832117514</v>
      </c>
      <c r="Z7" s="516">
        <f t="shared" ref="Z7:Z22" si="11">W7-Y7</f>
        <v>0</v>
      </c>
      <c r="AA7" s="511">
        <f t="shared" ref="AA7:AA22" si="12">BF7</f>
        <v>0</v>
      </c>
      <c r="AB7" s="516">
        <f t="shared" ref="AB7:AB22" si="13">Z7-AA7</f>
        <v>0</v>
      </c>
      <c r="AC7" s="511">
        <f>HLOOKUP($C$1,'Inflation Adjustments'!$BI$3:$BT$4,2)*AZ7</f>
        <v>111062.22749999999</v>
      </c>
      <c r="AD7" s="511">
        <f>IF(AI7="In Service",AC7*'Maintenace Cost Assumptions'!B$14,0)</f>
        <v>1110.6222749999999</v>
      </c>
      <c r="AE7" s="318">
        <v>3</v>
      </c>
      <c r="AF7" s="318">
        <v>4</v>
      </c>
      <c r="AG7" s="338"/>
      <c r="AH7" s="338">
        <f>(AE7*'Condition rating weights'!H$47+AF7*'Condition rating weights'!R$47+AG7*'Condition rating weights'!S$47)/100</f>
        <v>0.64</v>
      </c>
      <c r="AI7" s="454" t="s">
        <v>1430</v>
      </c>
      <c r="AQ7" s="589"/>
      <c r="AR7" s="589"/>
      <c r="AS7" s="589"/>
      <c r="AT7" s="589"/>
      <c r="AU7" s="589"/>
      <c r="AV7" s="589"/>
      <c r="AW7" s="589"/>
      <c r="AY7" s="144" t="str">
        <f t="shared" si="0"/>
        <v>FPDT-003</v>
      </c>
      <c r="AZ7" s="383">
        <f t="shared" si="1"/>
        <v>74400</v>
      </c>
      <c r="BA7" s="384">
        <f>(HLOOKUP($S7,'Inflation Adjustments'!$M$3:$BT$4,2,TRUE))*AZ7</f>
        <v>11717.375832117514</v>
      </c>
      <c r="BB7" s="384">
        <f t="shared" si="2"/>
        <v>50</v>
      </c>
      <c r="BC7" s="144">
        <f t="shared" si="4"/>
        <v>30</v>
      </c>
      <c r="BD7" s="383">
        <f t="shared" si="5"/>
        <v>390.57919440391714</v>
      </c>
      <c r="BE7" s="383">
        <f t="shared" si="6"/>
        <v>11717.375832117514</v>
      </c>
      <c r="BF7" s="340">
        <f t="shared" si="7"/>
        <v>0</v>
      </c>
    </row>
    <row r="8" spans="1:58" ht="30" customHeight="1" x14ac:dyDescent="0.3">
      <c r="A8" s="330" t="s">
        <v>1313</v>
      </c>
      <c r="B8" s="318" t="s">
        <v>1391</v>
      </c>
      <c r="C8" s="318" t="s">
        <v>1255</v>
      </c>
      <c r="D8" s="318" t="s">
        <v>124</v>
      </c>
      <c r="E8" s="318" t="s">
        <v>873</v>
      </c>
      <c r="F8" s="318" t="s">
        <v>224</v>
      </c>
      <c r="G8" s="318" t="s">
        <v>722</v>
      </c>
      <c r="H8" s="318" t="str">
        <f t="shared" si="3"/>
        <v>S   00.52445</v>
      </c>
      <c r="I8" s="318" t="str">
        <f t="shared" si="3"/>
        <v>E 166.95547</v>
      </c>
      <c r="J8" s="318" t="s">
        <v>741</v>
      </c>
      <c r="K8" s="318" t="s">
        <v>742</v>
      </c>
      <c r="L8" s="318" t="s">
        <v>194</v>
      </c>
      <c r="M8" s="333">
        <f>ROUND('Sealed Roads'!R8*0.7,-1)</f>
        <v>1670</v>
      </c>
      <c r="N8" s="318" t="s">
        <v>194</v>
      </c>
      <c r="O8" s="318">
        <v>1.2</v>
      </c>
      <c r="P8" s="318">
        <f t="shared" si="8"/>
        <v>30</v>
      </c>
      <c r="Q8" s="318">
        <v>1972</v>
      </c>
      <c r="R8" s="318" t="s">
        <v>800</v>
      </c>
      <c r="S8" s="318">
        <v>1972</v>
      </c>
      <c r="T8" s="318" t="s">
        <v>800</v>
      </c>
      <c r="U8" s="318"/>
      <c r="V8" s="318"/>
      <c r="W8" s="452">
        <f t="shared" si="9"/>
        <v>31561.31877360685</v>
      </c>
      <c r="X8" s="318" t="s">
        <v>800</v>
      </c>
      <c r="Y8" s="511">
        <f t="shared" si="10"/>
        <v>31561.31877360685</v>
      </c>
      <c r="Z8" s="516">
        <f t="shared" si="11"/>
        <v>0</v>
      </c>
      <c r="AA8" s="511">
        <f t="shared" si="12"/>
        <v>0</v>
      </c>
      <c r="AB8" s="516">
        <f t="shared" si="13"/>
        <v>0</v>
      </c>
      <c r="AC8" s="511">
        <f>HLOOKUP($C$1,'Inflation Adjustments'!$BI$3:$BT$4,2)*AZ8</f>
        <v>299151.48374999996</v>
      </c>
      <c r="AD8" s="511">
        <f>IF(AI8="In Service",AC8*'Maintenace Cost Assumptions'!B$14,0)</f>
        <v>2991.5148374999994</v>
      </c>
      <c r="AE8" s="318">
        <v>3</v>
      </c>
      <c r="AF8" s="331">
        <v>4</v>
      </c>
      <c r="AG8" s="338"/>
      <c r="AH8" s="338">
        <f>(AE8*'Condition rating weights'!H$47+AF8*'Condition rating weights'!R$47+AG8*'Condition rating weights'!S$47)/100</f>
        <v>0.64</v>
      </c>
      <c r="AI8" s="454" t="s">
        <v>1430</v>
      </c>
      <c r="AQ8" s="447"/>
      <c r="AR8" s="447"/>
      <c r="AS8" s="360"/>
      <c r="AU8" s="447"/>
      <c r="AV8" s="447"/>
      <c r="AW8" s="360"/>
      <c r="AY8" s="144" t="str">
        <f t="shared" si="0"/>
        <v>FPDT-004</v>
      </c>
      <c r="AZ8" s="383">
        <f t="shared" si="1"/>
        <v>200400</v>
      </c>
      <c r="BA8" s="384">
        <f>(HLOOKUP($S8,'Inflation Adjustments'!$M$3:$BT$4,2,TRUE))*AZ8</f>
        <v>31561.31877360685</v>
      </c>
      <c r="BB8" s="384">
        <f t="shared" si="2"/>
        <v>50</v>
      </c>
      <c r="BC8" s="144">
        <f t="shared" si="4"/>
        <v>30</v>
      </c>
      <c r="BD8" s="383">
        <f t="shared" si="5"/>
        <v>1052.0439591202282</v>
      </c>
      <c r="BE8" s="383">
        <f t="shared" si="6"/>
        <v>31561.31877360685</v>
      </c>
      <c r="BF8" s="340">
        <f t="shared" si="7"/>
        <v>0</v>
      </c>
    </row>
    <row r="9" spans="1:58" ht="30" customHeight="1" x14ac:dyDescent="0.3">
      <c r="A9" s="330" t="s">
        <v>1314</v>
      </c>
      <c r="B9" s="318" t="s">
        <v>1391</v>
      </c>
      <c r="C9" s="318" t="s">
        <v>1255</v>
      </c>
      <c r="D9" s="318" t="s">
        <v>124</v>
      </c>
      <c r="E9" s="318" t="s">
        <v>873</v>
      </c>
      <c r="F9" s="318" t="s">
        <v>224</v>
      </c>
      <c r="G9" s="318" t="s">
        <v>723</v>
      </c>
      <c r="H9" s="318" t="str">
        <f t="shared" si="3"/>
        <v>S   00.54141</v>
      </c>
      <c r="I9" s="318" t="str">
        <f t="shared" si="3"/>
        <v>E 166.94867</v>
      </c>
      <c r="J9" s="318" t="s">
        <v>743</v>
      </c>
      <c r="K9" s="318" t="s">
        <v>744</v>
      </c>
      <c r="L9" s="318" t="s">
        <v>194</v>
      </c>
      <c r="M9" s="333">
        <f>ROUND('Sealed Roads'!R9*1.7,-1)</f>
        <v>4900</v>
      </c>
      <c r="N9" s="318" t="s">
        <v>194</v>
      </c>
      <c r="O9" s="318">
        <v>1.2</v>
      </c>
      <c r="P9" s="318">
        <f t="shared" si="8"/>
        <v>30</v>
      </c>
      <c r="Q9" s="318">
        <v>1972</v>
      </c>
      <c r="R9" s="318" t="s">
        <v>800</v>
      </c>
      <c r="S9" s="318">
        <v>1972</v>
      </c>
      <c r="T9" s="318" t="s">
        <v>800</v>
      </c>
      <c r="U9" s="318"/>
      <c r="V9" s="318"/>
      <c r="W9" s="452">
        <f t="shared" si="9"/>
        <v>92605.067060283574</v>
      </c>
      <c r="X9" s="318" t="s">
        <v>800</v>
      </c>
      <c r="Y9" s="511">
        <f t="shared" si="10"/>
        <v>92605.067060283574</v>
      </c>
      <c r="Z9" s="516">
        <f t="shared" si="11"/>
        <v>0</v>
      </c>
      <c r="AA9" s="511">
        <f t="shared" si="12"/>
        <v>0</v>
      </c>
      <c r="AB9" s="516">
        <f t="shared" si="13"/>
        <v>0</v>
      </c>
      <c r="AC9" s="511">
        <f>HLOOKUP($C$1,'Inflation Adjustments'!$BI$3:$BT$4,2)*AZ9</f>
        <v>877749.86249999993</v>
      </c>
      <c r="AD9" s="511">
        <f>IF(AI9="In Service",AC9*'Maintenace Cost Assumptions'!B$14,0)</f>
        <v>8777.4986250000002</v>
      </c>
      <c r="AE9" s="318">
        <v>3</v>
      </c>
      <c r="AF9" s="318">
        <v>4</v>
      </c>
      <c r="AG9" s="338"/>
      <c r="AH9" s="338">
        <f>(AE9*'Condition rating weights'!H$47+AF9*'Condition rating weights'!R$47+AG9*'Condition rating weights'!S$47)/100</f>
        <v>0.64</v>
      </c>
      <c r="AI9" s="454" t="s">
        <v>1430</v>
      </c>
      <c r="AU9" s="447"/>
      <c r="AV9" s="447"/>
      <c r="AW9" s="447"/>
      <c r="AY9" s="144" t="str">
        <f t="shared" si="0"/>
        <v>FPDT-005</v>
      </c>
      <c r="AZ9" s="383">
        <f t="shared" si="1"/>
        <v>588000</v>
      </c>
      <c r="BA9" s="384">
        <f>(HLOOKUP($S9,'Inflation Adjustments'!$M$3:$BT$4,2,TRUE))*AZ9</f>
        <v>92605.067060283574</v>
      </c>
      <c r="BB9" s="384">
        <f t="shared" si="2"/>
        <v>50</v>
      </c>
      <c r="BC9" s="144">
        <f t="shared" si="4"/>
        <v>30</v>
      </c>
      <c r="BD9" s="383">
        <f t="shared" si="5"/>
        <v>3086.8355686761192</v>
      </c>
      <c r="BE9" s="383">
        <f t="shared" si="6"/>
        <v>92605.067060283574</v>
      </c>
      <c r="BF9" s="340">
        <f t="shared" si="7"/>
        <v>0</v>
      </c>
    </row>
    <row r="10" spans="1:58" ht="30" customHeight="1" x14ac:dyDescent="0.3">
      <c r="A10" s="330" t="s">
        <v>1315</v>
      </c>
      <c r="B10" s="318" t="s">
        <v>1391</v>
      </c>
      <c r="C10" s="318" t="s">
        <v>1255</v>
      </c>
      <c r="D10" s="318" t="s">
        <v>124</v>
      </c>
      <c r="E10" s="318" t="s">
        <v>873</v>
      </c>
      <c r="F10" s="318" t="s">
        <v>224</v>
      </c>
      <c r="G10" s="318" t="s">
        <v>724</v>
      </c>
      <c r="H10" s="318" t="str">
        <f t="shared" si="3"/>
        <v>S   00.55247</v>
      </c>
      <c r="I10" s="318" t="str">
        <f t="shared" si="3"/>
        <v>E 166.92877</v>
      </c>
      <c r="J10" s="318" t="s">
        <v>745</v>
      </c>
      <c r="K10" s="318" t="s">
        <v>746</v>
      </c>
      <c r="L10" s="318" t="s">
        <v>194</v>
      </c>
      <c r="M10" s="333">
        <f>ROUND('Sealed Roads'!R10*1,-1)</f>
        <v>1890</v>
      </c>
      <c r="N10" s="318" t="s">
        <v>194</v>
      </c>
      <c r="O10" s="318">
        <v>1.2</v>
      </c>
      <c r="P10" s="318">
        <f t="shared" si="8"/>
        <v>30</v>
      </c>
      <c r="Q10" s="318">
        <v>1972</v>
      </c>
      <c r="R10" s="318" t="s">
        <v>800</v>
      </c>
      <c r="S10" s="318">
        <v>1972</v>
      </c>
      <c r="T10" s="318" t="s">
        <v>800</v>
      </c>
      <c r="U10" s="318"/>
      <c r="V10" s="318"/>
      <c r="W10" s="452">
        <f t="shared" si="9"/>
        <v>35719.097294680811</v>
      </c>
      <c r="X10" s="318" t="s">
        <v>800</v>
      </c>
      <c r="Y10" s="511">
        <f t="shared" si="10"/>
        <v>35719.097294680811</v>
      </c>
      <c r="Z10" s="516">
        <f t="shared" si="11"/>
        <v>0</v>
      </c>
      <c r="AA10" s="511">
        <f t="shared" si="12"/>
        <v>0</v>
      </c>
      <c r="AB10" s="516">
        <f t="shared" si="13"/>
        <v>0</v>
      </c>
      <c r="AC10" s="511">
        <f>HLOOKUP($C$1,'Inflation Adjustments'!$BI$3:$BT$4,2)*AZ10</f>
        <v>338560.66124999995</v>
      </c>
      <c r="AD10" s="511">
        <f>IF(AI10="In Service",AC10*'Maintenace Cost Assumptions'!B$14,0)</f>
        <v>3385.6066124999998</v>
      </c>
      <c r="AE10" s="318">
        <v>3</v>
      </c>
      <c r="AF10" s="318">
        <v>4</v>
      </c>
      <c r="AG10" s="338"/>
      <c r="AH10" s="338">
        <f>(AE10*'Condition rating weights'!H$47+AF10*'Condition rating weights'!R$47+AG10*'Condition rating weights'!S$47)/100</f>
        <v>0.64</v>
      </c>
      <c r="AI10" s="454" t="s">
        <v>1430</v>
      </c>
      <c r="AQ10" s="589"/>
      <c r="AR10" s="589"/>
      <c r="AS10" s="589"/>
      <c r="AT10" s="589"/>
      <c r="AU10" s="589"/>
      <c r="AV10" s="589"/>
      <c r="AW10" s="589"/>
      <c r="AY10" s="144" t="str">
        <f t="shared" si="0"/>
        <v>FPDT-006</v>
      </c>
      <c r="AZ10" s="383">
        <f t="shared" si="1"/>
        <v>226800</v>
      </c>
      <c r="BA10" s="384">
        <f>(HLOOKUP($S10,'Inflation Adjustments'!$M$3:$BT$4,2,TRUE))*AZ10</f>
        <v>35719.097294680811</v>
      </c>
      <c r="BB10" s="384">
        <f t="shared" si="2"/>
        <v>50</v>
      </c>
      <c r="BC10" s="144">
        <f t="shared" si="4"/>
        <v>30</v>
      </c>
      <c r="BD10" s="383">
        <f t="shared" si="5"/>
        <v>1190.6365764893603</v>
      </c>
      <c r="BE10" s="383">
        <f t="shared" si="6"/>
        <v>35719.097294680811</v>
      </c>
      <c r="BF10" s="340">
        <f t="shared" si="7"/>
        <v>0</v>
      </c>
    </row>
    <row r="11" spans="1:58" ht="30" customHeight="1" x14ac:dyDescent="0.3">
      <c r="A11" s="330" t="s">
        <v>1316</v>
      </c>
      <c r="B11" s="318" t="s">
        <v>1391</v>
      </c>
      <c r="C11" s="318" t="s">
        <v>1255</v>
      </c>
      <c r="D11" s="318" t="s">
        <v>124</v>
      </c>
      <c r="E11" s="318" t="s">
        <v>873</v>
      </c>
      <c r="F11" s="318" t="s">
        <v>224</v>
      </c>
      <c r="G11" s="318" t="s">
        <v>725</v>
      </c>
      <c r="H11" s="318" t="str">
        <f t="shared" si="3"/>
        <v>S   00.54494</v>
      </c>
      <c r="I11" s="318" t="str">
        <f t="shared" si="3"/>
        <v>E 166.91483</v>
      </c>
      <c r="J11" s="318" t="s">
        <v>747</v>
      </c>
      <c r="K11" s="318" t="s">
        <v>748</v>
      </c>
      <c r="L11" s="318" t="s">
        <v>194</v>
      </c>
      <c r="M11" s="333">
        <f>ROUND('Sealed Roads'!R11*1,-1)</f>
        <v>610</v>
      </c>
      <c r="N11" s="318" t="s">
        <v>194</v>
      </c>
      <c r="O11" s="318">
        <v>1.2</v>
      </c>
      <c r="P11" s="318">
        <f t="shared" si="8"/>
        <v>30</v>
      </c>
      <c r="Q11" s="318">
        <v>1972</v>
      </c>
      <c r="R11" s="318" t="s">
        <v>800</v>
      </c>
      <c r="S11" s="318">
        <v>1972</v>
      </c>
      <c r="T11" s="318" t="s">
        <v>800</v>
      </c>
      <c r="U11" s="318"/>
      <c r="V11" s="318"/>
      <c r="W11" s="452">
        <f t="shared" si="9"/>
        <v>11528.385899341425</v>
      </c>
      <c r="X11" s="318" t="s">
        <v>800</v>
      </c>
      <c r="Y11" s="511">
        <f t="shared" si="10"/>
        <v>11528.385899341425</v>
      </c>
      <c r="Z11" s="516">
        <f t="shared" si="11"/>
        <v>0</v>
      </c>
      <c r="AA11" s="511">
        <f t="shared" si="12"/>
        <v>0</v>
      </c>
      <c r="AB11" s="516">
        <f t="shared" si="13"/>
        <v>0</v>
      </c>
      <c r="AC11" s="511">
        <f>HLOOKUP($C$1,'Inflation Adjustments'!$BI$3:$BT$4,2)*AZ11</f>
        <v>109270.90125</v>
      </c>
      <c r="AD11" s="511">
        <f>IF(AI11="In Service",AC11*'Maintenace Cost Assumptions'!B$14,0)</f>
        <v>1092.7090125</v>
      </c>
      <c r="AE11" s="318">
        <v>3</v>
      </c>
      <c r="AF11" s="318">
        <v>4</v>
      </c>
      <c r="AG11" s="338"/>
      <c r="AH11" s="338">
        <f>(AE11*'Condition rating weights'!H$47+AF11*'Condition rating weights'!R$47+AG11*'Condition rating weights'!S$47)/100</f>
        <v>0.64</v>
      </c>
      <c r="AI11" s="454" t="s">
        <v>1430</v>
      </c>
      <c r="AQ11" s="447"/>
      <c r="AR11" s="447"/>
      <c r="AS11" s="447"/>
      <c r="AU11" s="447"/>
      <c r="AV11" s="447"/>
      <c r="AW11" s="447"/>
      <c r="AY11" s="144" t="str">
        <f t="shared" si="0"/>
        <v>FPDT-007</v>
      </c>
      <c r="AZ11" s="383">
        <f t="shared" si="1"/>
        <v>73200</v>
      </c>
      <c r="BA11" s="384">
        <f>(HLOOKUP($S11,'Inflation Adjustments'!$M$3:$BT$4,2,TRUE))*AZ11</f>
        <v>11528.385899341425</v>
      </c>
      <c r="BB11" s="384">
        <f t="shared" si="2"/>
        <v>50</v>
      </c>
      <c r="BC11" s="144">
        <f t="shared" si="4"/>
        <v>30</v>
      </c>
      <c r="BD11" s="383">
        <f t="shared" si="5"/>
        <v>384.27952997804749</v>
      </c>
      <c r="BE11" s="383">
        <f t="shared" si="6"/>
        <v>11528.385899341425</v>
      </c>
      <c r="BF11" s="340">
        <f t="shared" si="7"/>
        <v>0</v>
      </c>
    </row>
    <row r="12" spans="1:58" ht="30" customHeight="1" x14ac:dyDescent="0.3">
      <c r="A12" s="330" t="s">
        <v>1317</v>
      </c>
      <c r="B12" s="318" t="s">
        <v>1391</v>
      </c>
      <c r="C12" s="318" t="s">
        <v>1255</v>
      </c>
      <c r="D12" s="318" t="s">
        <v>124</v>
      </c>
      <c r="E12" s="318" t="s">
        <v>873</v>
      </c>
      <c r="F12" s="318" t="s">
        <v>224</v>
      </c>
      <c r="G12" s="318" t="s">
        <v>726</v>
      </c>
      <c r="H12" s="318" t="str">
        <f t="shared" si="3"/>
        <v>S   00.53991</v>
      </c>
      <c r="I12" s="318" t="str">
        <f t="shared" si="3"/>
        <v>E 166.91185</v>
      </c>
      <c r="J12" s="318" t="s">
        <v>749</v>
      </c>
      <c r="K12" s="318" t="s">
        <v>750</v>
      </c>
      <c r="L12" s="318" t="s">
        <v>194</v>
      </c>
      <c r="M12" s="333">
        <f>ROUND('Sealed Roads'!R12*1.3,-1)</f>
        <v>2180</v>
      </c>
      <c r="N12" s="318" t="s">
        <v>194</v>
      </c>
      <c r="O12" s="318">
        <v>1.2</v>
      </c>
      <c r="P12" s="318">
        <f t="shared" si="8"/>
        <v>30</v>
      </c>
      <c r="Q12" s="318">
        <v>1972</v>
      </c>
      <c r="R12" s="318" t="s">
        <v>800</v>
      </c>
      <c r="S12" s="318">
        <v>1972</v>
      </c>
      <c r="T12" s="318" t="s">
        <v>800</v>
      </c>
      <c r="U12" s="318"/>
      <c r="V12" s="318"/>
      <c r="W12" s="452">
        <f t="shared" si="9"/>
        <v>41199.805345187386</v>
      </c>
      <c r="X12" s="318" t="s">
        <v>800</v>
      </c>
      <c r="Y12" s="511">
        <f t="shared" si="10"/>
        <v>41199.805345187386</v>
      </c>
      <c r="Z12" s="516">
        <f t="shared" si="11"/>
        <v>0</v>
      </c>
      <c r="AA12" s="511">
        <f t="shared" si="12"/>
        <v>0</v>
      </c>
      <c r="AB12" s="516">
        <f t="shared" si="13"/>
        <v>0</v>
      </c>
      <c r="AC12" s="511">
        <f>HLOOKUP($C$1,'Inflation Adjustments'!$BI$3:$BT$4,2)*AZ12</f>
        <v>390509.12249999994</v>
      </c>
      <c r="AD12" s="511">
        <f>IF(AI12="In Service",AC12*'Maintenace Cost Assumptions'!B$14,0)</f>
        <v>3905.0912249999997</v>
      </c>
      <c r="AE12" s="318">
        <v>3</v>
      </c>
      <c r="AF12" s="318">
        <v>4</v>
      </c>
      <c r="AG12" s="338"/>
      <c r="AH12" s="338">
        <f>(AE12*'Condition rating weights'!H$47+AF12*'Condition rating weights'!R$47+AG12*'Condition rating weights'!S$47)/100</f>
        <v>0.64</v>
      </c>
      <c r="AI12" s="454" t="s">
        <v>1430</v>
      </c>
      <c r="AU12" s="447"/>
      <c r="AV12" s="447"/>
      <c r="AW12" s="447"/>
      <c r="AY12" s="144" t="str">
        <f t="shared" si="0"/>
        <v>FPDT-008</v>
      </c>
      <c r="AZ12" s="383">
        <f t="shared" si="1"/>
        <v>261600</v>
      </c>
      <c r="BA12" s="384">
        <f>(HLOOKUP($S12,'Inflation Adjustments'!$M$3:$BT$4,2,TRUE))*AZ12</f>
        <v>41199.805345187386</v>
      </c>
      <c r="BB12" s="384">
        <f t="shared" si="2"/>
        <v>50</v>
      </c>
      <c r="BC12" s="144">
        <f t="shared" si="4"/>
        <v>30</v>
      </c>
      <c r="BD12" s="383">
        <f t="shared" si="5"/>
        <v>1373.3268448395795</v>
      </c>
      <c r="BE12" s="383">
        <f t="shared" si="6"/>
        <v>41199.805345187386</v>
      </c>
      <c r="BF12" s="340">
        <f t="shared" si="7"/>
        <v>0</v>
      </c>
    </row>
    <row r="13" spans="1:58" ht="30" customHeight="1" x14ac:dyDescent="0.3">
      <c r="A13" s="330" t="s">
        <v>1318</v>
      </c>
      <c r="B13" s="318" t="s">
        <v>1391</v>
      </c>
      <c r="C13" s="318" t="s">
        <v>1255</v>
      </c>
      <c r="D13" s="318" t="s">
        <v>124</v>
      </c>
      <c r="E13" s="318" t="s">
        <v>873</v>
      </c>
      <c r="F13" s="318" t="s">
        <v>224</v>
      </c>
      <c r="G13" s="318" t="s">
        <v>727</v>
      </c>
      <c r="H13" s="318" t="str">
        <f t="shared" ref="H13:I17" si="14">J12</f>
        <v>S   00.52868</v>
      </c>
      <c r="I13" s="318" t="str">
        <f t="shared" si="14"/>
        <v>E 166.91283</v>
      </c>
      <c r="J13" s="318" t="s">
        <v>751</v>
      </c>
      <c r="K13" s="318" t="s">
        <v>752</v>
      </c>
      <c r="L13" s="318" t="s">
        <v>194</v>
      </c>
      <c r="M13" s="333">
        <f>ROUND('Sealed Roads'!R13*1.3,-1)</f>
        <v>1720</v>
      </c>
      <c r="N13" s="318" t="s">
        <v>194</v>
      </c>
      <c r="O13" s="318">
        <v>1.2</v>
      </c>
      <c r="P13" s="318">
        <f t="shared" si="8"/>
        <v>30</v>
      </c>
      <c r="Q13" s="318">
        <v>1972</v>
      </c>
      <c r="R13" s="318" t="s">
        <v>800</v>
      </c>
      <c r="S13" s="318">
        <v>1972</v>
      </c>
      <c r="T13" s="318" t="s">
        <v>800</v>
      </c>
      <c r="U13" s="318"/>
      <c r="V13" s="318"/>
      <c r="W13" s="452">
        <f t="shared" si="9"/>
        <v>32506.268437487295</v>
      </c>
      <c r="X13" s="318" t="s">
        <v>800</v>
      </c>
      <c r="Y13" s="511">
        <f t="shared" si="10"/>
        <v>32506.268437487295</v>
      </c>
      <c r="Z13" s="516">
        <f t="shared" si="11"/>
        <v>0</v>
      </c>
      <c r="AA13" s="511">
        <f t="shared" si="12"/>
        <v>0</v>
      </c>
      <c r="AB13" s="516">
        <f t="shared" si="13"/>
        <v>0</v>
      </c>
      <c r="AC13" s="511">
        <f>HLOOKUP($C$1,'Inflation Adjustments'!$BI$3:$BT$4,2)*AZ13</f>
        <v>308108.11499999999</v>
      </c>
      <c r="AD13" s="511">
        <f>IF(AI13="In Service",AC13*'Maintenace Cost Assumptions'!B$14,0)</f>
        <v>3081.08115</v>
      </c>
      <c r="AE13" s="318">
        <v>3</v>
      </c>
      <c r="AF13" s="318">
        <v>4</v>
      </c>
      <c r="AG13" s="338"/>
      <c r="AH13" s="338">
        <f>(AE13*'Condition rating weights'!H$47+AF13*'Condition rating weights'!R$47+AG13*'Condition rating weights'!S$47)/100</f>
        <v>0.64</v>
      </c>
      <c r="AI13" s="454" t="s">
        <v>1430</v>
      </c>
      <c r="AQ13" s="589"/>
      <c r="AR13" s="589"/>
      <c r="AS13" s="589"/>
      <c r="AT13" s="589"/>
      <c r="AU13" s="589"/>
      <c r="AV13" s="589"/>
      <c r="AW13" s="589"/>
      <c r="AY13" s="144" t="str">
        <f t="shared" si="0"/>
        <v>FPDT-009</v>
      </c>
      <c r="AZ13" s="383">
        <f t="shared" si="1"/>
        <v>206400</v>
      </c>
      <c r="BA13" s="384">
        <f>(HLOOKUP($S13,'Inflation Adjustments'!$M$3:$BT$4,2,TRUE))*AZ13</f>
        <v>32506.268437487295</v>
      </c>
      <c r="BB13" s="384">
        <f t="shared" si="2"/>
        <v>50</v>
      </c>
      <c r="BC13" s="144">
        <f t="shared" si="4"/>
        <v>30</v>
      </c>
      <c r="BD13" s="383">
        <f t="shared" si="5"/>
        <v>1083.5422812495765</v>
      </c>
      <c r="BE13" s="383">
        <f t="shared" si="6"/>
        <v>32506.268437487295</v>
      </c>
      <c r="BF13" s="340">
        <f t="shared" si="7"/>
        <v>0</v>
      </c>
    </row>
    <row r="14" spans="1:58" ht="30" customHeight="1" x14ac:dyDescent="0.3">
      <c r="A14" s="330" t="s">
        <v>1319</v>
      </c>
      <c r="B14" s="318" t="s">
        <v>1391</v>
      </c>
      <c r="C14" s="318" t="s">
        <v>1255</v>
      </c>
      <c r="D14" s="318" t="s">
        <v>124</v>
      </c>
      <c r="E14" s="318" t="s">
        <v>873</v>
      </c>
      <c r="F14" s="318" t="s">
        <v>224</v>
      </c>
      <c r="G14" s="318" t="s">
        <v>728</v>
      </c>
      <c r="H14" s="318" t="str">
        <f t="shared" si="14"/>
        <v>S   00.51965</v>
      </c>
      <c r="I14" s="318" t="str">
        <f t="shared" si="14"/>
        <v>E 166.91806</v>
      </c>
      <c r="J14" s="318" t="s">
        <v>753</v>
      </c>
      <c r="K14" s="318" t="s">
        <v>754</v>
      </c>
      <c r="L14" s="318" t="s">
        <v>194</v>
      </c>
      <c r="M14" s="333">
        <f>ROUND('Sealed Roads'!R14*2,-1)</f>
        <v>1980</v>
      </c>
      <c r="N14" s="318" t="s">
        <v>194</v>
      </c>
      <c r="O14" s="318">
        <v>1.2</v>
      </c>
      <c r="P14" s="318">
        <f t="shared" si="8"/>
        <v>30</v>
      </c>
      <c r="Q14" s="318">
        <v>1972</v>
      </c>
      <c r="R14" s="318" t="s">
        <v>800</v>
      </c>
      <c r="S14" s="318">
        <v>1972</v>
      </c>
      <c r="T14" s="318" t="s">
        <v>800</v>
      </c>
      <c r="U14" s="318"/>
      <c r="V14" s="318"/>
      <c r="W14" s="452">
        <f t="shared" si="9"/>
        <v>37420.006689665606</v>
      </c>
      <c r="X14" s="318" t="s">
        <v>800</v>
      </c>
      <c r="Y14" s="511">
        <f t="shared" si="10"/>
        <v>37420.006689665606</v>
      </c>
      <c r="Z14" s="516">
        <f t="shared" si="11"/>
        <v>0</v>
      </c>
      <c r="AA14" s="511">
        <f t="shared" si="12"/>
        <v>0</v>
      </c>
      <c r="AB14" s="516">
        <f t="shared" si="13"/>
        <v>0</v>
      </c>
      <c r="AC14" s="511">
        <f>HLOOKUP($C$1,'Inflation Adjustments'!$BI$3:$BT$4,2)*AZ14</f>
        <v>354682.59749999997</v>
      </c>
      <c r="AD14" s="511">
        <f>IF(AI14="In Service",AC14*'Maintenace Cost Assumptions'!B$14,0)</f>
        <v>3546.8259749999997</v>
      </c>
      <c r="AE14" s="318">
        <v>3</v>
      </c>
      <c r="AF14" s="318">
        <v>4</v>
      </c>
      <c r="AG14" s="338"/>
      <c r="AH14" s="338">
        <f>(AE14*'Condition rating weights'!H$47+AF14*'Condition rating weights'!R$47+AG14*'Condition rating weights'!S$47)/100</f>
        <v>0.64</v>
      </c>
      <c r="AI14" s="454" t="s">
        <v>1430</v>
      </c>
      <c r="AY14" s="144" t="str">
        <f t="shared" si="0"/>
        <v>FPDT-010</v>
      </c>
      <c r="AZ14" s="383">
        <f t="shared" si="1"/>
        <v>237600</v>
      </c>
      <c r="BA14" s="384">
        <f>(HLOOKUP($S14,'Inflation Adjustments'!$M$3:$BT$4,2,TRUE))*AZ14</f>
        <v>37420.006689665606</v>
      </c>
      <c r="BB14" s="384">
        <f t="shared" si="2"/>
        <v>50</v>
      </c>
      <c r="BC14" s="144">
        <f t="shared" si="4"/>
        <v>30</v>
      </c>
      <c r="BD14" s="383">
        <f t="shared" si="5"/>
        <v>1247.333556322187</v>
      </c>
      <c r="BE14" s="383">
        <f t="shared" si="6"/>
        <v>37420.006689665606</v>
      </c>
      <c r="BF14" s="340">
        <f t="shared" si="7"/>
        <v>0</v>
      </c>
    </row>
    <row r="15" spans="1:58" ht="30" customHeight="1" x14ac:dyDescent="0.3">
      <c r="A15" s="330" t="s">
        <v>1320</v>
      </c>
      <c r="B15" s="318" t="s">
        <v>1391</v>
      </c>
      <c r="C15" s="318" t="s">
        <v>1255</v>
      </c>
      <c r="D15" s="318" t="s">
        <v>124</v>
      </c>
      <c r="E15" s="318" t="s">
        <v>873</v>
      </c>
      <c r="F15" s="318" t="s">
        <v>224</v>
      </c>
      <c r="G15" s="318" t="s">
        <v>729</v>
      </c>
      <c r="H15" s="318" t="str">
        <f t="shared" si="14"/>
        <v>S   00.51414</v>
      </c>
      <c r="I15" s="318" t="str">
        <f t="shared" si="14"/>
        <v>E 166.92389</v>
      </c>
      <c r="J15" s="318" t="s">
        <v>755</v>
      </c>
      <c r="K15" s="318" t="s">
        <v>756</v>
      </c>
      <c r="L15" s="318" t="s">
        <v>194</v>
      </c>
      <c r="M15" s="333">
        <f>ROUND('Sealed Roads'!R15*2,-1)</f>
        <v>940</v>
      </c>
      <c r="N15" s="318" t="s">
        <v>194</v>
      </c>
      <c r="O15" s="318">
        <v>1.2</v>
      </c>
      <c r="P15" s="318">
        <f t="shared" si="8"/>
        <v>30</v>
      </c>
      <c r="Q15" s="318">
        <v>1972</v>
      </c>
      <c r="R15" s="318" t="s">
        <v>800</v>
      </c>
      <c r="S15" s="318">
        <v>1972</v>
      </c>
      <c r="T15" s="318" t="s">
        <v>800</v>
      </c>
      <c r="U15" s="318"/>
      <c r="V15" s="318"/>
      <c r="W15" s="452">
        <f t="shared" si="9"/>
        <v>17765.053680952358</v>
      </c>
      <c r="X15" s="318" t="s">
        <v>800</v>
      </c>
      <c r="Y15" s="511">
        <f t="shared" si="10"/>
        <v>17765.053680952358</v>
      </c>
      <c r="Z15" s="516">
        <f t="shared" si="11"/>
        <v>0</v>
      </c>
      <c r="AA15" s="511">
        <f t="shared" si="12"/>
        <v>0</v>
      </c>
      <c r="AB15" s="516">
        <f t="shared" si="13"/>
        <v>0</v>
      </c>
      <c r="AC15" s="511">
        <f>HLOOKUP($C$1,'Inflation Adjustments'!$BI$3:$BT$4,2)*AZ15</f>
        <v>168384.66749999998</v>
      </c>
      <c r="AD15" s="511">
        <f>IF(AI15="In Service",AC15*'Maintenace Cost Assumptions'!B$14,0)</f>
        <v>1683.8466749999998</v>
      </c>
      <c r="AE15" s="318">
        <v>3</v>
      </c>
      <c r="AF15" s="318">
        <v>4</v>
      </c>
      <c r="AG15" s="338"/>
      <c r="AH15" s="338">
        <f>(AE15*'Condition rating weights'!H$47+AF15*'Condition rating weights'!R$47+AG15*'Condition rating weights'!S$47)/100</f>
        <v>0.64</v>
      </c>
      <c r="AI15" s="454" t="s">
        <v>1430</v>
      </c>
      <c r="AS15" s="290"/>
      <c r="AY15" s="144" t="str">
        <f t="shared" si="0"/>
        <v>FPDT-011</v>
      </c>
      <c r="AZ15" s="383">
        <f t="shared" si="1"/>
        <v>112800</v>
      </c>
      <c r="BA15" s="384">
        <f>(HLOOKUP($S15,'Inflation Adjustments'!$M$3:$BT$4,2,TRUE))*AZ15</f>
        <v>17765.053680952358</v>
      </c>
      <c r="BB15" s="384">
        <f t="shared" si="2"/>
        <v>50</v>
      </c>
      <c r="BC15" s="144">
        <f t="shared" si="4"/>
        <v>30</v>
      </c>
      <c r="BD15" s="383">
        <f t="shared" si="5"/>
        <v>592.16845603174522</v>
      </c>
      <c r="BE15" s="383">
        <f t="shared" si="6"/>
        <v>17765.053680952358</v>
      </c>
      <c r="BF15" s="340">
        <f t="shared" si="7"/>
        <v>0</v>
      </c>
    </row>
    <row r="16" spans="1:58" ht="30" customHeight="1" x14ac:dyDescent="0.3">
      <c r="A16" s="330" t="s">
        <v>1321</v>
      </c>
      <c r="B16" s="318" t="s">
        <v>1391</v>
      </c>
      <c r="C16" s="318" t="s">
        <v>1255</v>
      </c>
      <c r="D16" s="318" t="s">
        <v>124</v>
      </c>
      <c r="E16" s="318" t="s">
        <v>873</v>
      </c>
      <c r="F16" s="318" t="s">
        <v>224</v>
      </c>
      <c r="G16" s="318" t="s">
        <v>757</v>
      </c>
      <c r="H16" s="318" t="str">
        <f t="shared" si="14"/>
        <v>S   00.51336</v>
      </c>
      <c r="I16" s="318" t="str">
        <f t="shared" si="14"/>
        <v>E 166.92673</v>
      </c>
      <c r="J16" s="318" t="s">
        <v>758</v>
      </c>
      <c r="K16" s="318" t="s">
        <v>759</v>
      </c>
      <c r="L16" s="318" t="s">
        <v>194</v>
      </c>
      <c r="M16" s="333">
        <f>ROUND('Sealed Roads'!R16*2,-1)</f>
        <v>1560</v>
      </c>
      <c r="N16" s="318" t="s">
        <v>194</v>
      </c>
      <c r="O16" s="318">
        <v>1.2</v>
      </c>
      <c r="P16" s="318">
        <f t="shared" si="8"/>
        <v>30</v>
      </c>
      <c r="Q16" s="318">
        <v>1972</v>
      </c>
      <c r="R16" s="318" t="s">
        <v>800</v>
      </c>
      <c r="S16" s="318">
        <v>1972</v>
      </c>
      <c r="T16" s="318" t="s">
        <v>800</v>
      </c>
      <c r="U16" s="318"/>
      <c r="V16" s="318"/>
      <c r="W16" s="452">
        <f t="shared" si="9"/>
        <v>29482.429513069874</v>
      </c>
      <c r="X16" s="318" t="s">
        <v>800</v>
      </c>
      <c r="Y16" s="511">
        <f t="shared" si="10"/>
        <v>29482.429513069874</v>
      </c>
      <c r="Z16" s="516">
        <f t="shared" si="11"/>
        <v>0</v>
      </c>
      <c r="AA16" s="511">
        <f t="shared" si="12"/>
        <v>0</v>
      </c>
      <c r="AB16" s="516">
        <f t="shared" si="13"/>
        <v>0</v>
      </c>
      <c r="AC16" s="511">
        <f>HLOOKUP($C$1,'Inflation Adjustments'!$BI$3:$BT$4,2)*AZ16</f>
        <v>279446.89499999996</v>
      </c>
      <c r="AD16" s="511">
        <f>IF(AI16="In Service",AC16*'Maintenace Cost Assumptions'!B$14,0)</f>
        <v>2794.4689499999995</v>
      </c>
      <c r="AE16" s="318">
        <v>3</v>
      </c>
      <c r="AF16" s="318">
        <v>4</v>
      </c>
      <c r="AG16" s="338"/>
      <c r="AH16" s="338">
        <f>(AE16*'Condition rating weights'!H$47+AF16*'Condition rating weights'!R$47+AG16*'Condition rating weights'!S$47)/100</f>
        <v>0.64</v>
      </c>
      <c r="AI16" s="454" t="s">
        <v>1430</v>
      </c>
      <c r="AY16" s="144" t="str">
        <f t="shared" si="0"/>
        <v>FPDT-012</v>
      </c>
      <c r="AZ16" s="383">
        <f t="shared" si="1"/>
        <v>187200</v>
      </c>
      <c r="BA16" s="384">
        <f>(HLOOKUP($S16,'Inflation Adjustments'!$M$3:$BT$4,2,TRUE))*AZ16</f>
        <v>29482.429513069874</v>
      </c>
      <c r="BB16" s="384">
        <f t="shared" si="2"/>
        <v>50</v>
      </c>
      <c r="BC16" s="144">
        <f t="shared" si="4"/>
        <v>30</v>
      </c>
      <c r="BD16" s="383">
        <f t="shared" si="5"/>
        <v>982.74765043566242</v>
      </c>
      <c r="BE16" s="383">
        <f t="shared" si="6"/>
        <v>29482.429513069874</v>
      </c>
      <c r="BF16" s="340">
        <f t="shared" si="7"/>
        <v>0</v>
      </c>
    </row>
    <row r="17" spans="1:58" ht="30" customHeight="1" x14ac:dyDescent="0.3">
      <c r="A17" s="330" t="s">
        <v>1322</v>
      </c>
      <c r="B17" s="318" t="s">
        <v>1391</v>
      </c>
      <c r="C17" s="318" t="s">
        <v>1255</v>
      </c>
      <c r="D17" s="318" t="s">
        <v>124</v>
      </c>
      <c r="E17" s="318" t="s">
        <v>873</v>
      </c>
      <c r="F17" s="318" t="s">
        <v>224</v>
      </c>
      <c r="G17" s="318" t="s">
        <v>730</v>
      </c>
      <c r="H17" s="318" t="str">
        <f t="shared" si="14"/>
        <v>S   00.50642</v>
      </c>
      <c r="I17" s="318" t="str">
        <f t="shared" si="14"/>
        <v>E 166.93137</v>
      </c>
      <c r="J17" s="318" t="s">
        <v>731</v>
      </c>
      <c r="K17" s="318" t="s">
        <v>732</v>
      </c>
      <c r="L17" s="318" t="s">
        <v>194</v>
      </c>
      <c r="M17" s="333">
        <f>ROUND('Sealed Roads'!R17*1.2,-1)</f>
        <v>1220</v>
      </c>
      <c r="N17" s="318" t="s">
        <v>194</v>
      </c>
      <c r="O17" s="318">
        <v>1.2</v>
      </c>
      <c r="P17" s="318">
        <f t="shared" si="8"/>
        <v>30</v>
      </c>
      <c r="Q17" s="318">
        <v>1972</v>
      </c>
      <c r="R17" s="318" t="s">
        <v>800</v>
      </c>
      <c r="S17" s="318">
        <v>1972</v>
      </c>
      <c r="T17" s="318" t="s">
        <v>800</v>
      </c>
      <c r="U17" s="318"/>
      <c r="V17" s="318"/>
      <c r="W17" s="452">
        <f t="shared" si="9"/>
        <v>23056.77179868285</v>
      </c>
      <c r="X17" s="318" t="s">
        <v>800</v>
      </c>
      <c r="Y17" s="511">
        <f t="shared" si="10"/>
        <v>23056.77179868285</v>
      </c>
      <c r="Z17" s="516">
        <f t="shared" si="11"/>
        <v>0</v>
      </c>
      <c r="AA17" s="511">
        <f t="shared" si="12"/>
        <v>0</v>
      </c>
      <c r="AB17" s="516">
        <f t="shared" si="13"/>
        <v>0</v>
      </c>
      <c r="AC17" s="511">
        <f>HLOOKUP($C$1,'Inflation Adjustments'!$BI$3:$BT$4,2)*AZ17</f>
        <v>218541.80249999999</v>
      </c>
      <c r="AD17" s="511">
        <f>IF(AI17="In Service",AC17*'Maintenace Cost Assumptions'!B$14,0)</f>
        <v>2185.4180249999999</v>
      </c>
      <c r="AE17" s="318">
        <v>3</v>
      </c>
      <c r="AF17" s="318">
        <v>4</v>
      </c>
      <c r="AG17" s="338"/>
      <c r="AH17" s="338">
        <f>(AE17*'Condition rating weights'!H$47+AF17*'Condition rating weights'!R$47+AG17*'Condition rating weights'!S$47)/100</f>
        <v>0.64</v>
      </c>
      <c r="AI17" s="454" t="s">
        <v>1430</v>
      </c>
      <c r="AY17" s="144" t="str">
        <f t="shared" si="0"/>
        <v>FPDT-013</v>
      </c>
      <c r="AZ17" s="383">
        <f t="shared" si="1"/>
        <v>146400</v>
      </c>
      <c r="BA17" s="384">
        <f>(HLOOKUP($S17,'Inflation Adjustments'!$M$3:$BT$4,2,TRUE))*AZ17</f>
        <v>23056.77179868285</v>
      </c>
      <c r="BB17" s="384">
        <f t="shared" si="2"/>
        <v>50</v>
      </c>
      <c r="BC17" s="144">
        <f t="shared" si="4"/>
        <v>30</v>
      </c>
      <c r="BD17" s="383">
        <f t="shared" si="5"/>
        <v>768.55905995609498</v>
      </c>
      <c r="BE17" s="383">
        <f t="shared" si="6"/>
        <v>23056.77179868285</v>
      </c>
      <c r="BF17" s="340">
        <f t="shared" si="7"/>
        <v>0</v>
      </c>
    </row>
    <row r="18" spans="1:58" ht="30" customHeight="1" x14ac:dyDescent="0.3">
      <c r="A18" s="330" t="s">
        <v>1323</v>
      </c>
      <c r="B18" s="451" t="s">
        <v>1392</v>
      </c>
      <c r="C18" s="318" t="s">
        <v>1255</v>
      </c>
      <c r="D18" s="318" t="s">
        <v>140</v>
      </c>
      <c r="E18" s="318" t="s">
        <v>873</v>
      </c>
      <c r="F18" s="318" t="s">
        <v>224</v>
      </c>
      <c r="G18" s="318" t="s">
        <v>766</v>
      </c>
      <c r="H18" s="318" t="s">
        <v>767</v>
      </c>
      <c r="I18" s="318" t="s">
        <v>768</v>
      </c>
      <c r="J18" s="318" t="s">
        <v>769</v>
      </c>
      <c r="K18" s="318" t="s">
        <v>770</v>
      </c>
      <c r="L18" s="318" t="s">
        <v>194</v>
      </c>
      <c r="M18" s="333">
        <v>1300</v>
      </c>
      <c r="N18" s="318" t="s">
        <v>194</v>
      </c>
      <c r="O18" s="318">
        <v>1.2</v>
      </c>
      <c r="P18" s="318">
        <f t="shared" si="8"/>
        <v>30</v>
      </c>
      <c r="Q18" s="318">
        <v>1972</v>
      </c>
      <c r="R18" s="318" t="s">
        <v>800</v>
      </c>
      <c r="S18" s="318">
        <v>1972</v>
      </c>
      <c r="T18" s="318" t="s">
        <v>800</v>
      </c>
      <c r="U18" s="318"/>
      <c r="V18" s="318"/>
      <c r="W18" s="452">
        <f t="shared" si="9"/>
        <v>24568.691260891563</v>
      </c>
      <c r="X18" s="318" t="s">
        <v>800</v>
      </c>
      <c r="Y18" s="511">
        <f t="shared" si="10"/>
        <v>24568.691260891563</v>
      </c>
      <c r="Z18" s="516">
        <f t="shared" si="11"/>
        <v>0</v>
      </c>
      <c r="AA18" s="511">
        <f t="shared" si="12"/>
        <v>0</v>
      </c>
      <c r="AB18" s="516">
        <f t="shared" si="13"/>
        <v>0</v>
      </c>
      <c r="AC18" s="511">
        <f>HLOOKUP($C$1,'Inflation Adjustments'!$BI$3:$BT$4,2)*AZ18</f>
        <v>232872.41249999998</v>
      </c>
      <c r="AD18" s="511">
        <f>IF(AI18="In Service",AC18*'Maintenace Cost Assumptions'!B$14,0)</f>
        <v>2328.7241249999997</v>
      </c>
      <c r="AE18" s="318">
        <v>3</v>
      </c>
      <c r="AF18" s="318">
        <v>4</v>
      </c>
      <c r="AG18" s="338"/>
      <c r="AH18" s="338">
        <f>(AE18*'Condition rating weights'!H$47+AF18*'Condition rating weights'!R$47+AG18*'Condition rating weights'!S$47)/100</f>
        <v>0.64</v>
      </c>
      <c r="AI18" s="454" t="s">
        <v>1430</v>
      </c>
      <c r="AY18" s="144" t="str">
        <f t="shared" si="0"/>
        <v>FPDT-014</v>
      </c>
      <c r="AZ18" s="383">
        <f t="shared" si="1"/>
        <v>156000</v>
      </c>
      <c r="BA18" s="384">
        <f>(HLOOKUP($S18,'Inflation Adjustments'!$M$3:$BT$4,2,TRUE))*AZ18</f>
        <v>24568.691260891563</v>
      </c>
      <c r="BB18" s="384">
        <f t="shared" si="2"/>
        <v>50</v>
      </c>
      <c r="BC18" s="144">
        <f t="shared" si="4"/>
        <v>30</v>
      </c>
      <c r="BD18" s="383">
        <f t="shared" si="5"/>
        <v>818.95637536305208</v>
      </c>
      <c r="BE18" s="383">
        <f t="shared" si="6"/>
        <v>24568.691260891563</v>
      </c>
      <c r="BF18" s="340">
        <f t="shared" si="7"/>
        <v>0</v>
      </c>
    </row>
    <row r="19" spans="1:58" ht="31" customHeight="1" x14ac:dyDescent="0.3">
      <c r="A19" s="330" t="s">
        <v>1324</v>
      </c>
      <c r="B19" s="451" t="s">
        <v>1393</v>
      </c>
      <c r="C19" s="318" t="s">
        <v>1255</v>
      </c>
      <c r="D19" s="318" t="s">
        <v>140</v>
      </c>
      <c r="E19" s="318" t="s">
        <v>873</v>
      </c>
      <c r="F19" s="318" t="s">
        <v>224</v>
      </c>
      <c r="G19" s="318" t="s">
        <v>771</v>
      </c>
      <c r="H19" s="318" t="str">
        <f>J18</f>
        <v>S   00.53529</v>
      </c>
      <c r="I19" s="318" t="str">
        <f>K18</f>
        <v>E 166.92108</v>
      </c>
      <c r="J19" s="318" t="str">
        <f>H19</f>
        <v>S   00.53529</v>
      </c>
      <c r="K19" s="318" t="str">
        <f>I19</f>
        <v>E 166.92108</v>
      </c>
      <c r="L19" s="318" t="s">
        <v>194</v>
      </c>
      <c r="M19" s="333">
        <v>1300</v>
      </c>
      <c r="N19" s="318" t="s">
        <v>194</v>
      </c>
      <c r="O19" s="318">
        <v>1.2</v>
      </c>
      <c r="P19" s="318">
        <f t="shared" si="8"/>
        <v>30</v>
      </c>
      <c r="Q19" s="318">
        <v>1972</v>
      </c>
      <c r="R19" s="318" t="s">
        <v>800</v>
      </c>
      <c r="S19" s="318">
        <v>1972</v>
      </c>
      <c r="T19" s="318" t="s">
        <v>800</v>
      </c>
      <c r="U19" s="318"/>
      <c r="V19" s="318"/>
      <c r="W19" s="452">
        <f t="shared" si="9"/>
        <v>24568.691260891563</v>
      </c>
      <c r="X19" s="318" t="s">
        <v>800</v>
      </c>
      <c r="Y19" s="511">
        <f t="shared" si="10"/>
        <v>24568.691260891563</v>
      </c>
      <c r="Z19" s="516">
        <f t="shared" si="11"/>
        <v>0</v>
      </c>
      <c r="AA19" s="511">
        <f t="shared" si="12"/>
        <v>0</v>
      </c>
      <c r="AB19" s="516">
        <f t="shared" si="13"/>
        <v>0</v>
      </c>
      <c r="AC19" s="511">
        <f>HLOOKUP($C$1,'Inflation Adjustments'!$BI$3:$BT$4,2)*AZ19</f>
        <v>232872.41249999998</v>
      </c>
      <c r="AD19" s="511">
        <f>IF(AI19="In Service",AC19*'Maintenace Cost Assumptions'!B$14,0)</f>
        <v>2328.7241249999997</v>
      </c>
      <c r="AE19" s="318">
        <v>3</v>
      </c>
      <c r="AF19" s="318">
        <v>4</v>
      </c>
      <c r="AG19" s="338"/>
      <c r="AH19" s="338">
        <f>(AE19*'Condition rating weights'!H$47+AF19*'Condition rating weights'!R$47+AG19*'Condition rating weights'!S$47)/100</f>
        <v>0.64</v>
      </c>
      <c r="AI19" s="454" t="s">
        <v>1430</v>
      </c>
      <c r="AY19" s="144" t="str">
        <f t="shared" si="0"/>
        <v>FPDT-015</v>
      </c>
      <c r="AZ19" s="383">
        <f t="shared" si="1"/>
        <v>156000</v>
      </c>
      <c r="BA19" s="384">
        <f>(HLOOKUP($S19,'Inflation Adjustments'!$M$3:$BT$4,2,TRUE))*AZ19</f>
        <v>24568.691260891563</v>
      </c>
      <c r="BB19" s="384">
        <f t="shared" si="2"/>
        <v>50</v>
      </c>
      <c r="BC19" s="144">
        <f t="shared" si="4"/>
        <v>30</v>
      </c>
      <c r="BD19" s="383">
        <f t="shared" si="5"/>
        <v>818.95637536305208</v>
      </c>
      <c r="BE19" s="383">
        <f t="shared" si="6"/>
        <v>24568.691260891563</v>
      </c>
      <c r="BF19" s="340">
        <f t="shared" si="7"/>
        <v>0</v>
      </c>
    </row>
    <row r="20" spans="1:58" ht="39" customHeight="1" x14ac:dyDescent="0.3">
      <c r="A20" s="330" t="s">
        <v>1325</v>
      </c>
      <c r="B20" s="451" t="s">
        <v>1394</v>
      </c>
      <c r="C20" s="318" t="s">
        <v>1255</v>
      </c>
      <c r="D20" s="318" t="s">
        <v>140</v>
      </c>
      <c r="E20" s="318" t="s">
        <v>873</v>
      </c>
      <c r="F20" s="318" t="s">
        <v>224</v>
      </c>
      <c r="G20" s="318" t="s">
        <v>723</v>
      </c>
      <c r="H20" s="318" t="s">
        <v>773</v>
      </c>
      <c r="I20" s="318" t="s">
        <v>774</v>
      </c>
      <c r="J20" s="318" t="s">
        <v>775</v>
      </c>
      <c r="K20" s="318" t="s">
        <v>776</v>
      </c>
      <c r="L20" s="318" t="s">
        <v>194</v>
      </c>
      <c r="M20" s="333">
        <v>500</v>
      </c>
      <c r="N20" s="318" t="s">
        <v>194</v>
      </c>
      <c r="O20" s="318">
        <v>1.2</v>
      </c>
      <c r="P20" s="318">
        <f t="shared" si="8"/>
        <v>30</v>
      </c>
      <c r="Q20" s="318">
        <v>1972</v>
      </c>
      <c r="R20" s="318" t="s">
        <v>800</v>
      </c>
      <c r="S20" s="318">
        <v>1972</v>
      </c>
      <c r="T20" s="318" t="s">
        <v>800</v>
      </c>
      <c r="U20" s="318"/>
      <c r="V20" s="318"/>
      <c r="W20" s="452">
        <f t="shared" si="9"/>
        <v>9449.4966388044468</v>
      </c>
      <c r="X20" s="318" t="s">
        <v>800</v>
      </c>
      <c r="Y20" s="511">
        <f t="shared" si="10"/>
        <v>9449.4966388044468</v>
      </c>
      <c r="Z20" s="516">
        <f t="shared" si="11"/>
        <v>0</v>
      </c>
      <c r="AA20" s="511">
        <f t="shared" si="12"/>
        <v>0</v>
      </c>
      <c r="AB20" s="516">
        <f t="shared" si="13"/>
        <v>0</v>
      </c>
      <c r="AC20" s="511">
        <f>HLOOKUP($C$1,'Inflation Adjustments'!$BI$3:$BT$4,2)*AZ20</f>
        <v>89566.312499999985</v>
      </c>
      <c r="AD20" s="511">
        <f>IF(AI20="In Service",AC20*'Maintenace Cost Assumptions'!B$14,0)</f>
        <v>895.66312499999992</v>
      </c>
      <c r="AE20" s="318">
        <v>3</v>
      </c>
      <c r="AF20" s="318">
        <v>4</v>
      </c>
      <c r="AG20" s="338"/>
      <c r="AH20" s="338">
        <f>(AE20*'Condition rating weights'!H$47+AF20*'Condition rating weights'!R$47+AG20*'Condition rating weights'!S$47)/100</f>
        <v>0.64</v>
      </c>
      <c r="AI20" s="454" t="s">
        <v>1430</v>
      </c>
      <c r="AY20" s="144" t="str">
        <f t="shared" si="0"/>
        <v>FPDT-016</v>
      </c>
      <c r="AZ20" s="383">
        <f t="shared" si="1"/>
        <v>60000</v>
      </c>
      <c r="BA20" s="384">
        <f>(HLOOKUP($S20,'Inflation Adjustments'!$M$3:$BT$4,2,TRUE))*AZ20</f>
        <v>9449.4966388044468</v>
      </c>
      <c r="BB20" s="384">
        <f t="shared" si="2"/>
        <v>50</v>
      </c>
      <c r="BC20" s="144">
        <f t="shared" si="4"/>
        <v>30</v>
      </c>
      <c r="BD20" s="383">
        <f t="shared" si="5"/>
        <v>314.98322129348156</v>
      </c>
      <c r="BE20" s="383">
        <f t="shared" si="6"/>
        <v>9449.4966388044468</v>
      </c>
      <c r="BF20" s="340">
        <f t="shared" si="7"/>
        <v>0</v>
      </c>
    </row>
    <row r="21" spans="1:58" ht="40.5" customHeight="1" x14ac:dyDescent="0.3">
      <c r="A21" s="330" t="s">
        <v>1326</v>
      </c>
      <c r="B21" s="451" t="s">
        <v>1395</v>
      </c>
      <c r="C21" s="318" t="s">
        <v>1255</v>
      </c>
      <c r="D21" s="318" t="s">
        <v>140</v>
      </c>
      <c r="E21" s="318" t="s">
        <v>873</v>
      </c>
      <c r="F21" s="318" t="s">
        <v>224</v>
      </c>
      <c r="G21" s="318" t="s">
        <v>724</v>
      </c>
      <c r="H21" s="318" t="s">
        <v>777</v>
      </c>
      <c r="I21" s="318" t="s">
        <v>778</v>
      </c>
      <c r="J21" s="318"/>
      <c r="K21" s="318"/>
      <c r="L21" s="318" t="s">
        <v>194</v>
      </c>
      <c r="M21" s="333">
        <v>1140</v>
      </c>
      <c r="N21" s="318" t="s">
        <v>194</v>
      </c>
      <c r="O21" s="318">
        <v>1.2</v>
      </c>
      <c r="P21" s="318">
        <f t="shared" si="8"/>
        <v>30</v>
      </c>
      <c r="Q21" s="318">
        <v>1972</v>
      </c>
      <c r="R21" s="318" t="s">
        <v>800</v>
      </c>
      <c r="S21" s="318">
        <v>1972</v>
      </c>
      <c r="T21" s="318" t="s">
        <v>800</v>
      </c>
      <c r="U21" s="318"/>
      <c r="V21" s="318"/>
      <c r="W21" s="452">
        <f t="shared" si="9"/>
        <v>21544.852336474138</v>
      </c>
      <c r="X21" s="318" t="s">
        <v>800</v>
      </c>
      <c r="Y21" s="511">
        <f t="shared" si="10"/>
        <v>21544.852336474138</v>
      </c>
      <c r="Z21" s="516">
        <f t="shared" si="11"/>
        <v>0</v>
      </c>
      <c r="AA21" s="511">
        <f t="shared" si="12"/>
        <v>0</v>
      </c>
      <c r="AB21" s="516">
        <f t="shared" si="13"/>
        <v>0</v>
      </c>
      <c r="AC21" s="511">
        <f>HLOOKUP($C$1,'Inflation Adjustments'!$BI$3:$BT$4,2)*AZ21</f>
        <v>204211.19249999998</v>
      </c>
      <c r="AD21" s="511">
        <f>IF(AI21="In Service",AC21*'Maintenace Cost Assumptions'!B$14,0)</f>
        <v>2042.1119249999997</v>
      </c>
      <c r="AE21" s="318">
        <v>3</v>
      </c>
      <c r="AF21" s="318">
        <v>4</v>
      </c>
      <c r="AG21" s="338"/>
      <c r="AH21" s="338">
        <f>(AE21*'Condition rating weights'!H$47+AF21*'Condition rating weights'!R$47+AG21*'Condition rating weights'!S$47)/100</f>
        <v>0.64</v>
      </c>
      <c r="AI21" s="454" t="s">
        <v>1430</v>
      </c>
      <c r="AY21" s="144" t="str">
        <f t="shared" si="0"/>
        <v>FPDT-017</v>
      </c>
      <c r="AZ21" s="383">
        <f t="shared" si="1"/>
        <v>136800</v>
      </c>
      <c r="BA21" s="384">
        <f>(HLOOKUP($S21,'Inflation Adjustments'!$M$3:$BT$4,2,TRUE))*AZ21</f>
        <v>21544.852336474138</v>
      </c>
      <c r="BB21" s="384">
        <f t="shared" si="2"/>
        <v>50</v>
      </c>
      <c r="BC21" s="144">
        <f t="shared" si="4"/>
        <v>30</v>
      </c>
      <c r="BD21" s="383">
        <f t="shared" si="5"/>
        <v>718.16174454913789</v>
      </c>
      <c r="BE21" s="383">
        <f t="shared" si="6"/>
        <v>21544.852336474138</v>
      </c>
      <c r="BF21" s="340">
        <f t="shared" si="7"/>
        <v>0</v>
      </c>
    </row>
    <row r="22" spans="1:58" ht="40.5" customHeight="1" x14ac:dyDescent="0.3">
      <c r="A22" s="330" t="s">
        <v>1327</v>
      </c>
      <c r="B22" s="451" t="s">
        <v>1396</v>
      </c>
      <c r="C22" s="318" t="s">
        <v>1255</v>
      </c>
      <c r="D22" s="318" t="s">
        <v>140</v>
      </c>
      <c r="E22" s="318" t="s">
        <v>873</v>
      </c>
      <c r="F22" s="318" t="s">
        <v>224</v>
      </c>
      <c r="G22" s="318" t="s">
        <v>725</v>
      </c>
      <c r="H22" s="318"/>
      <c r="I22" s="318"/>
      <c r="J22" s="318" t="s">
        <v>779</v>
      </c>
      <c r="K22" s="318" t="s">
        <v>780</v>
      </c>
      <c r="L22" s="318" t="s">
        <v>194</v>
      </c>
      <c r="M22" s="333">
        <v>650</v>
      </c>
      <c r="N22" s="318" t="s">
        <v>194</v>
      </c>
      <c r="O22" s="318">
        <v>1.2</v>
      </c>
      <c r="P22" s="318">
        <f t="shared" si="8"/>
        <v>30</v>
      </c>
      <c r="Q22" s="318">
        <v>1972</v>
      </c>
      <c r="R22" s="318" t="s">
        <v>800</v>
      </c>
      <c r="S22" s="318">
        <v>1972</v>
      </c>
      <c r="T22" s="318" t="s">
        <v>800</v>
      </c>
      <c r="U22" s="318"/>
      <c r="V22" s="318"/>
      <c r="W22" s="452">
        <f t="shared" si="9"/>
        <v>12284.345630445781</v>
      </c>
      <c r="X22" s="318" t="s">
        <v>800</v>
      </c>
      <c r="Y22" s="511">
        <f t="shared" si="10"/>
        <v>12284.345630445781</v>
      </c>
      <c r="Z22" s="516">
        <f t="shared" si="11"/>
        <v>0</v>
      </c>
      <c r="AA22" s="511">
        <f t="shared" si="12"/>
        <v>0</v>
      </c>
      <c r="AB22" s="516">
        <f t="shared" si="13"/>
        <v>0</v>
      </c>
      <c r="AC22" s="511">
        <f>HLOOKUP($C$1,'Inflation Adjustments'!$BI$3:$BT$4,2)*AZ22</f>
        <v>116436.20624999999</v>
      </c>
      <c r="AD22" s="511">
        <f>IF(AI22="In Service",AC22*'Maintenace Cost Assumptions'!B$14,0)</f>
        <v>1164.3620624999999</v>
      </c>
      <c r="AE22" s="318">
        <v>3</v>
      </c>
      <c r="AF22" s="318">
        <v>4</v>
      </c>
      <c r="AG22" s="338"/>
      <c r="AH22" s="338">
        <f>(AE22*'Condition rating weights'!H$47+AF22*'Condition rating weights'!R$47+AG22*'Condition rating weights'!S$47)/100</f>
        <v>0.64</v>
      </c>
      <c r="AI22" s="454" t="s">
        <v>1430</v>
      </c>
      <c r="AY22" s="144" t="str">
        <f t="shared" si="0"/>
        <v>FPDT-018</v>
      </c>
      <c r="AZ22" s="383">
        <f t="shared" si="1"/>
        <v>78000</v>
      </c>
      <c r="BA22" s="384">
        <f>(HLOOKUP($S22,'Inflation Adjustments'!$M$3:$BT$4,2,TRUE))*AZ22</f>
        <v>12284.345630445781</v>
      </c>
      <c r="BB22" s="384">
        <f t="shared" si="2"/>
        <v>50</v>
      </c>
      <c r="BC22" s="144">
        <f t="shared" si="4"/>
        <v>30</v>
      </c>
      <c r="BD22" s="383">
        <f t="shared" si="5"/>
        <v>409.47818768152604</v>
      </c>
      <c r="BE22" s="383">
        <f t="shared" si="6"/>
        <v>12284.345630445781</v>
      </c>
      <c r="BF22" s="340">
        <f t="shared" si="7"/>
        <v>0</v>
      </c>
    </row>
    <row r="23" spans="1:58" ht="30" customHeight="1" x14ac:dyDescent="0.3">
      <c r="A23" s="330"/>
      <c r="B23" s="451"/>
      <c r="C23" s="318"/>
      <c r="D23" s="318"/>
      <c r="E23" s="318"/>
      <c r="F23" s="318"/>
      <c r="G23" s="318"/>
      <c r="H23" s="318"/>
      <c r="I23" s="318"/>
      <c r="J23" s="318"/>
      <c r="K23" s="318"/>
      <c r="L23" s="318"/>
      <c r="M23" s="333"/>
      <c r="N23" s="318"/>
      <c r="O23" s="318"/>
      <c r="P23" s="318"/>
      <c r="Q23" s="318"/>
      <c r="R23" s="318"/>
      <c r="S23" s="318"/>
      <c r="T23" s="318"/>
      <c r="U23" s="318"/>
      <c r="V23" s="318"/>
      <c r="W23" s="452"/>
      <c r="X23" s="318"/>
      <c r="Y23" s="511" t="e">
        <f t="shared" ref="Y23:Y28" si="15">BE23</f>
        <v>#N/A</v>
      </c>
      <c r="Z23" s="516" t="e">
        <f t="shared" ref="Z23:Z28" si="16">W23-Y23</f>
        <v>#N/A</v>
      </c>
      <c r="AA23" s="511">
        <f t="shared" ref="AA23:AA28" si="17">BF23</f>
        <v>0</v>
      </c>
      <c r="AB23" s="516" t="e">
        <f t="shared" ref="AB23:AB28" si="18">Z23-AA23</f>
        <v>#N/A</v>
      </c>
      <c r="AC23" s="511">
        <f>HLOOKUP($C$1,'Inflation Adjustments'!$BI$3:$BT$4,2)*AZ23</f>
        <v>0</v>
      </c>
      <c r="AD23" s="511">
        <f>IF(AI23="In Service",AC23*'Maintenace Cost Assumptions'!B$14,0)</f>
        <v>0</v>
      </c>
      <c r="AE23" s="318"/>
      <c r="AF23" s="318"/>
      <c r="AG23" s="338"/>
      <c r="AH23" s="338">
        <f>(AE23*'Condition rating weights'!H$47+AF23*'Condition rating weights'!R$47+AG23*'Condition rating weights'!S$47)/100</f>
        <v>0</v>
      </c>
      <c r="AI23" s="454"/>
      <c r="AY23" s="144">
        <f t="shared" ref="AY23:AY28" si="19">A23</f>
        <v>0</v>
      </c>
      <c r="AZ23" s="383">
        <f t="shared" ref="AZ23:AZ28" si="20">$AQ$6*M23</f>
        <v>0</v>
      </c>
      <c r="BA23" s="384" t="e">
        <f>(HLOOKUP($S23,'Inflation Adjustments'!$M$3:$BT$4,2,TRUE))*AZ23</f>
        <v>#N/A</v>
      </c>
      <c r="BB23" s="384">
        <f t="shared" ref="BB23:BB28" si="21">$C$1-S23-1</f>
        <v>2022</v>
      </c>
      <c r="BC23" s="144">
        <f t="shared" si="4"/>
        <v>30</v>
      </c>
      <c r="BD23" s="383" t="e">
        <f t="shared" ref="BD23:BD28" si="22">1/BC23*BA23</f>
        <v>#N/A</v>
      </c>
      <c r="BE23" s="383" t="e">
        <f t="shared" ref="BE23:BE28" si="23">IF(BD23*$BB23&gt;BA23,BA23,BD23*$BB23)</f>
        <v>#N/A</v>
      </c>
      <c r="BF23" s="340"/>
    </row>
    <row r="24" spans="1:58" ht="30" customHeight="1" x14ac:dyDescent="0.3">
      <c r="A24" s="330"/>
      <c r="B24" s="451"/>
      <c r="C24" s="318"/>
      <c r="D24" s="318"/>
      <c r="E24" s="318"/>
      <c r="F24" s="318"/>
      <c r="G24" s="318"/>
      <c r="H24" s="318"/>
      <c r="I24" s="318"/>
      <c r="J24" s="318"/>
      <c r="K24" s="318"/>
      <c r="L24" s="318"/>
      <c r="M24" s="333"/>
      <c r="N24" s="318"/>
      <c r="O24" s="318"/>
      <c r="P24" s="318"/>
      <c r="Q24" s="318"/>
      <c r="R24" s="318"/>
      <c r="S24" s="318"/>
      <c r="T24" s="318"/>
      <c r="U24" s="318"/>
      <c r="V24" s="318"/>
      <c r="W24" s="452"/>
      <c r="X24" s="318"/>
      <c r="Y24" s="511" t="e">
        <f t="shared" si="15"/>
        <v>#N/A</v>
      </c>
      <c r="Z24" s="516" t="e">
        <f t="shared" si="16"/>
        <v>#N/A</v>
      </c>
      <c r="AA24" s="511">
        <f t="shared" si="17"/>
        <v>0</v>
      </c>
      <c r="AB24" s="516" t="e">
        <f t="shared" si="18"/>
        <v>#N/A</v>
      </c>
      <c r="AC24" s="511">
        <f>HLOOKUP($C$1,'Inflation Adjustments'!$BI$3:$BT$4,2)*AZ24</f>
        <v>0</v>
      </c>
      <c r="AD24" s="511">
        <f>IF(AI24="In Service",AC24*'Maintenace Cost Assumptions'!B$14,0)</f>
        <v>0</v>
      </c>
      <c r="AE24" s="318"/>
      <c r="AF24" s="318"/>
      <c r="AG24" s="338"/>
      <c r="AH24" s="338">
        <f>(AE24*'Condition rating weights'!H$47+AF24*'Condition rating weights'!R$47+AG24*'Condition rating weights'!S$47)/100</f>
        <v>0</v>
      </c>
      <c r="AI24" s="454"/>
      <c r="AY24" s="144">
        <f t="shared" si="19"/>
        <v>0</v>
      </c>
      <c r="AZ24" s="383">
        <f t="shared" si="20"/>
        <v>0</v>
      </c>
      <c r="BA24" s="384" t="e">
        <f>(HLOOKUP($S24,'Inflation Adjustments'!$M$3:$BT$4,2,TRUE))*AZ24</f>
        <v>#N/A</v>
      </c>
      <c r="BB24" s="384">
        <f t="shared" si="21"/>
        <v>2022</v>
      </c>
      <c r="BC24" s="144">
        <f t="shared" si="4"/>
        <v>30</v>
      </c>
      <c r="BD24" s="383" t="e">
        <f t="shared" si="22"/>
        <v>#N/A</v>
      </c>
      <c r="BE24" s="383" t="e">
        <f t="shared" si="23"/>
        <v>#N/A</v>
      </c>
      <c r="BF24" s="340"/>
    </row>
    <row r="25" spans="1:58" ht="30" customHeight="1" x14ac:dyDescent="0.3">
      <c r="A25" s="330"/>
      <c r="B25" s="451"/>
      <c r="C25" s="318"/>
      <c r="D25" s="318"/>
      <c r="E25" s="318"/>
      <c r="F25" s="318"/>
      <c r="G25" s="318"/>
      <c r="H25" s="318"/>
      <c r="I25" s="318"/>
      <c r="J25" s="318"/>
      <c r="K25" s="318"/>
      <c r="L25" s="318"/>
      <c r="M25" s="333"/>
      <c r="N25" s="318"/>
      <c r="O25" s="318"/>
      <c r="P25" s="318"/>
      <c r="Q25" s="318"/>
      <c r="R25" s="318"/>
      <c r="S25" s="318"/>
      <c r="T25" s="318"/>
      <c r="U25" s="318"/>
      <c r="V25" s="318"/>
      <c r="W25" s="452"/>
      <c r="X25" s="318"/>
      <c r="Y25" s="511" t="e">
        <f t="shared" si="15"/>
        <v>#N/A</v>
      </c>
      <c r="Z25" s="516" t="e">
        <f t="shared" si="16"/>
        <v>#N/A</v>
      </c>
      <c r="AA25" s="511">
        <f t="shared" si="17"/>
        <v>0</v>
      </c>
      <c r="AB25" s="516" t="e">
        <f t="shared" si="18"/>
        <v>#N/A</v>
      </c>
      <c r="AC25" s="511">
        <f>HLOOKUP($C$1,'Inflation Adjustments'!$BI$3:$BT$4,2)*AZ25</f>
        <v>0</v>
      </c>
      <c r="AD25" s="511">
        <f>IF(AI25="In Service",AC25*'Maintenace Cost Assumptions'!B$14,0)</f>
        <v>0</v>
      </c>
      <c r="AE25" s="318"/>
      <c r="AF25" s="318"/>
      <c r="AG25" s="338"/>
      <c r="AH25" s="338">
        <f>(AE25*'Condition rating weights'!H$47+AF25*'Condition rating weights'!R$47+AG25*'Condition rating weights'!S$47)/100</f>
        <v>0</v>
      </c>
      <c r="AI25" s="454"/>
      <c r="AY25" s="144">
        <f t="shared" si="19"/>
        <v>0</v>
      </c>
      <c r="AZ25" s="383">
        <f t="shared" si="20"/>
        <v>0</v>
      </c>
      <c r="BA25" s="384" t="e">
        <f>(HLOOKUP($S25,'Inflation Adjustments'!$M$3:$BT$4,2,TRUE))*AZ25</f>
        <v>#N/A</v>
      </c>
      <c r="BB25" s="384">
        <f t="shared" si="21"/>
        <v>2022</v>
      </c>
      <c r="BC25" s="144">
        <f t="shared" si="4"/>
        <v>30</v>
      </c>
      <c r="BD25" s="383" t="e">
        <f t="shared" si="22"/>
        <v>#N/A</v>
      </c>
      <c r="BE25" s="383" t="e">
        <f t="shared" si="23"/>
        <v>#N/A</v>
      </c>
      <c r="BF25" s="340"/>
    </row>
    <row r="26" spans="1:58" ht="30" customHeight="1" x14ac:dyDescent="0.3">
      <c r="A26" s="330"/>
      <c r="B26" s="451"/>
      <c r="C26" s="318"/>
      <c r="D26" s="318"/>
      <c r="E26" s="318"/>
      <c r="F26" s="318"/>
      <c r="G26" s="318"/>
      <c r="H26" s="318"/>
      <c r="I26" s="318"/>
      <c r="J26" s="318"/>
      <c r="K26" s="318"/>
      <c r="L26" s="318"/>
      <c r="M26" s="333"/>
      <c r="N26" s="318"/>
      <c r="O26" s="318"/>
      <c r="P26" s="318"/>
      <c r="Q26" s="318"/>
      <c r="R26" s="318"/>
      <c r="S26" s="318"/>
      <c r="T26" s="318"/>
      <c r="U26" s="318"/>
      <c r="V26" s="318"/>
      <c r="W26" s="452"/>
      <c r="X26" s="318"/>
      <c r="Y26" s="511" t="e">
        <f t="shared" si="15"/>
        <v>#N/A</v>
      </c>
      <c r="Z26" s="516" t="e">
        <f t="shared" si="16"/>
        <v>#N/A</v>
      </c>
      <c r="AA26" s="511">
        <f t="shared" si="17"/>
        <v>0</v>
      </c>
      <c r="AB26" s="516" t="e">
        <f t="shared" si="18"/>
        <v>#N/A</v>
      </c>
      <c r="AC26" s="511">
        <f>HLOOKUP($C$1,'Inflation Adjustments'!$BI$3:$BT$4,2)*AZ26</f>
        <v>0</v>
      </c>
      <c r="AD26" s="511">
        <f>IF(AI26="In Service",AC26*'Maintenace Cost Assumptions'!B$14,0)</f>
        <v>0</v>
      </c>
      <c r="AE26" s="318"/>
      <c r="AF26" s="318"/>
      <c r="AG26" s="338"/>
      <c r="AH26" s="338">
        <f>(AE26*'Condition rating weights'!H$47+AF26*'Condition rating weights'!R$47+AG26*'Condition rating weights'!S$47)/100</f>
        <v>0</v>
      </c>
      <c r="AI26" s="454"/>
      <c r="AY26" s="144">
        <f t="shared" si="19"/>
        <v>0</v>
      </c>
      <c r="AZ26" s="383">
        <f t="shared" si="20"/>
        <v>0</v>
      </c>
      <c r="BA26" s="384" t="e">
        <f>(HLOOKUP($S26,'Inflation Adjustments'!$M$3:$BT$4,2,TRUE))*AZ26</f>
        <v>#N/A</v>
      </c>
      <c r="BB26" s="384">
        <f t="shared" si="21"/>
        <v>2022</v>
      </c>
      <c r="BC26" s="144">
        <f t="shared" si="4"/>
        <v>30</v>
      </c>
      <c r="BD26" s="383" t="e">
        <f t="shared" si="22"/>
        <v>#N/A</v>
      </c>
      <c r="BE26" s="383" t="e">
        <f t="shared" si="23"/>
        <v>#N/A</v>
      </c>
      <c r="BF26" s="340"/>
    </row>
    <row r="27" spans="1:58" ht="30" customHeight="1" x14ac:dyDescent="0.3">
      <c r="A27" s="330"/>
      <c r="B27" s="451"/>
      <c r="C27" s="318"/>
      <c r="D27" s="318"/>
      <c r="E27" s="318"/>
      <c r="F27" s="318"/>
      <c r="G27" s="318"/>
      <c r="H27" s="318"/>
      <c r="I27" s="318"/>
      <c r="J27" s="318"/>
      <c r="K27" s="318"/>
      <c r="L27" s="318"/>
      <c r="M27" s="333"/>
      <c r="N27" s="318"/>
      <c r="O27" s="318"/>
      <c r="P27" s="318"/>
      <c r="Q27" s="318"/>
      <c r="R27" s="318"/>
      <c r="S27" s="318"/>
      <c r="T27" s="318"/>
      <c r="U27" s="318"/>
      <c r="V27" s="318"/>
      <c r="W27" s="452"/>
      <c r="X27" s="318"/>
      <c r="Y27" s="511" t="e">
        <f t="shared" si="15"/>
        <v>#N/A</v>
      </c>
      <c r="Z27" s="516" t="e">
        <f t="shared" si="16"/>
        <v>#N/A</v>
      </c>
      <c r="AA27" s="511">
        <f t="shared" si="17"/>
        <v>0</v>
      </c>
      <c r="AB27" s="516" t="e">
        <f t="shared" si="18"/>
        <v>#N/A</v>
      </c>
      <c r="AC27" s="511">
        <f>HLOOKUP($C$1,'Inflation Adjustments'!$BI$3:$BT$4,2)*AZ27</f>
        <v>0</v>
      </c>
      <c r="AD27" s="511">
        <f>IF(AI27="In Service",AC27*'Maintenace Cost Assumptions'!B$14,0)</f>
        <v>0</v>
      </c>
      <c r="AE27" s="318"/>
      <c r="AF27" s="318"/>
      <c r="AG27" s="338"/>
      <c r="AH27" s="318"/>
      <c r="AI27" s="454"/>
      <c r="AY27" s="144">
        <f t="shared" si="19"/>
        <v>0</v>
      </c>
      <c r="AZ27" s="383">
        <f t="shared" si="20"/>
        <v>0</v>
      </c>
      <c r="BA27" s="384" t="e">
        <f>(HLOOKUP($S27,'Inflation Adjustments'!$M$3:$BT$4,2,TRUE))*AZ27</f>
        <v>#N/A</v>
      </c>
      <c r="BB27" s="384">
        <f t="shared" si="21"/>
        <v>2022</v>
      </c>
      <c r="BC27" s="144">
        <f t="shared" si="4"/>
        <v>30</v>
      </c>
      <c r="BD27" s="383" t="e">
        <f t="shared" si="22"/>
        <v>#N/A</v>
      </c>
      <c r="BE27" s="383" t="e">
        <f t="shared" si="23"/>
        <v>#N/A</v>
      </c>
      <c r="BF27" s="340"/>
    </row>
    <row r="28" spans="1:58" ht="30" customHeight="1" x14ac:dyDescent="0.3">
      <c r="A28" s="330"/>
      <c r="B28" s="451"/>
      <c r="C28" s="318"/>
      <c r="D28" s="318"/>
      <c r="E28" s="318"/>
      <c r="F28" s="318"/>
      <c r="G28" s="318"/>
      <c r="H28" s="318"/>
      <c r="I28" s="318"/>
      <c r="J28" s="318"/>
      <c r="K28" s="318"/>
      <c r="L28" s="318"/>
      <c r="M28" s="333"/>
      <c r="N28" s="318"/>
      <c r="O28" s="318"/>
      <c r="P28" s="318"/>
      <c r="Q28" s="318"/>
      <c r="R28" s="318"/>
      <c r="S28" s="318"/>
      <c r="T28" s="318"/>
      <c r="U28" s="318"/>
      <c r="V28" s="318"/>
      <c r="W28" s="452"/>
      <c r="X28" s="318"/>
      <c r="Y28" s="511" t="e">
        <f t="shared" si="15"/>
        <v>#N/A</v>
      </c>
      <c r="Z28" s="516" t="e">
        <f t="shared" si="16"/>
        <v>#N/A</v>
      </c>
      <c r="AA28" s="511">
        <f t="shared" si="17"/>
        <v>0</v>
      </c>
      <c r="AB28" s="516" t="e">
        <f t="shared" si="18"/>
        <v>#N/A</v>
      </c>
      <c r="AC28" s="511">
        <f>HLOOKUP($C$1,'Inflation Adjustments'!$BI$3:$BT$4,2)*AZ28</f>
        <v>0</v>
      </c>
      <c r="AD28" s="511">
        <f>IF(AI28="In Service",AC28*'Maintenace Cost Assumptions'!B$14,0)</f>
        <v>0</v>
      </c>
      <c r="AE28" s="318"/>
      <c r="AF28" s="318"/>
      <c r="AG28" s="338"/>
      <c r="AH28" s="318"/>
      <c r="AI28" s="454"/>
      <c r="AY28" s="144">
        <f t="shared" si="19"/>
        <v>0</v>
      </c>
      <c r="AZ28" s="383">
        <f t="shared" si="20"/>
        <v>0</v>
      </c>
      <c r="BA28" s="384" t="e">
        <f>(HLOOKUP($S28,'Inflation Adjustments'!$M$3:$BT$4,2,TRUE))*AZ28</f>
        <v>#N/A</v>
      </c>
      <c r="BB28" s="384">
        <f t="shared" si="21"/>
        <v>2022</v>
      </c>
      <c r="BC28" s="144">
        <f t="shared" si="4"/>
        <v>30</v>
      </c>
      <c r="BD28" s="383" t="e">
        <f t="shared" si="22"/>
        <v>#N/A</v>
      </c>
      <c r="BE28" s="383" t="e">
        <f t="shared" si="23"/>
        <v>#N/A</v>
      </c>
      <c r="BF28" s="340"/>
    </row>
    <row r="29" spans="1:58" ht="20" customHeight="1" x14ac:dyDescent="0.3">
      <c r="C29" s="463"/>
      <c r="D29" s="463"/>
      <c r="E29" s="463"/>
      <c r="F29" s="463"/>
      <c r="G29" s="463"/>
      <c r="H29" s="463"/>
      <c r="I29" s="463"/>
      <c r="J29" s="463"/>
      <c r="K29" s="463"/>
      <c r="L29" s="463"/>
      <c r="M29" s="463"/>
      <c r="N29" s="463"/>
      <c r="O29" s="463"/>
      <c r="P29" s="463"/>
      <c r="Q29" s="463"/>
      <c r="R29" s="463"/>
      <c r="S29" s="463"/>
      <c r="T29" s="463"/>
      <c r="U29" s="463"/>
      <c r="V29" s="463"/>
      <c r="W29" s="463"/>
      <c r="X29" s="463"/>
      <c r="Y29" s="463"/>
      <c r="Z29" s="463"/>
      <c r="AA29" s="463"/>
      <c r="AB29" s="463"/>
      <c r="AC29" s="463"/>
      <c r="AD29" s="467"/>
      <c r="AE29" s="331"/>
      <c r="AF29" s="331"/>
      <c r="AG29" s="338"/>
    </row>
    <row r="30" spans="1:58" ht="20" customHeight="1" x14ac:dyDescent="0.3">
      <c r="C30" s="463"/>
      <c r="D30" s="463"/>
      <c r="E30" s="463"/>
      <c r="F30" s="463"/>
      <c r="G30" s="463"/>
      <c r="H30" s="463"/>
      <c r="I30" s="463"/>
      <c r="J30" s="463"/>
      <c r="K30" s="463"/>
      <c r="L30" s="463"/>
      <c r="M30" s="463"/>
      <c r="N30" s="463"/>
      <c r="O30" s="463"/>
      <c r="P30" s="463"/>
      <c r="Q30" s="463"/>
      <c r="R30" s="463"/>
      <c r="S30" s="463"/>
      <c r="T30" s="463"/>
      <c r="U30" s="463"/>
      <c r="V30" s="463"/>
      <c r="W30" s="463"/>
      <c r="X30" s="463"/>
      <c r="Y30" s="463"/>
      <c r="Z30" s="463"/>
      <c r="AA30" s="463"/>
      <c r="AB30" s="463"/>
      <c r="AC30" s="463"/>
      <c r="AD30" s="463"/>
      <c r="AE30" s="463"/>
      <c r="AF30" s="463"/>
      <c r="AG30" s="463"/>
    </row>
    <row r="31" spans="1:58" ht="20" customHeight="1" x14ac:dyDescent="0.3">
      <c r="C31" s="463"/>
      <c r="D31" s="463"/>
      <c r="E31" s="463"/>
      <c r="F31" s="463"/>
      <c r="G31" s="463"/>
      <c r="H31" s="463"/>
      <c r="I31" s="463"/>
      <c r="J31" s="463"/>
      <c r="K31" s="463"/>
      <c r="L31" s="463"/>
      <c r="M31" s="463">
        <f>SUM(M5:M28)</f>
        <v>25970</v>
      </c>
      <c r="N31" s="463"/>
      <c r="O31" s="463"/>
      <c r="P31" s="463"/>
      <c r="Q31" s="463"/>
      <c r="R31" s="463"/>
      <c r="S31" s="463"/>
      <c r="T31" s="463"/>
      <c r="U31" s="463"/>
      <c r="V31" s="463"/>
      <c r="W31" s="463"/>
      <c r="X31" s="463"/>
      <c r="Y31" s="463"/>
      <c r="Z31" s="463"/>
      <c r="AA31" s="463"/>
      <c r="AB31" s="463"/>
      <c r="AC31" s="463"/>
      <c r="AD31" s="463"/>
      <c r="AE31" s="463"/>
      <c r="AF31" s="463"/>
      <c r="AG31" s="463"/>
    </row>
    <row r="32" spans="1:58" x14ac:dyDescent="0.3">
      <c r="C32" s="463"/>
      <c r="D32" s="463"/>
      <c r="E32" s="463"/>
      <c r="F32" s="463"/>
      <c r="G32" s="463"/>
      <c r="H32" s="463"/>
      <c r="I32" s="463"/>
      <c r="J32" s="463"/>
      <c r="K32" s="463"/>
      <c r="L32" s="463"/>
      <c r="M32" s="463"/>
      <c r="N32" s="463"/>
      <c r="O32" s="463"/>
      <c r="P32" s="463"/>
      <c r="Q32" s="463"/>
      <c r="R32" s="463"/>
      <c r="S32" s="463"/>
      <c r="T32" s="463"/>
      <c r="U32" s="463"/>
      <c r="V32" s="463"/>
      <c r="W32" s="463"/>
      <c r="X32" s="463"/>
      <c r="Y32" s="463"/>
      <c r="Z32" s="463"/>
      <c r="AA32" s="463"/>
      <c r="AB32" s="463"/>
      <c r="AC32" s="463"/>
      <c r="AD32" s="463"/>
      <c r="AE32" s="463"/>
      <c r="AF32" s="463"/>
      <c r="AG32" s="463"/>
    </row>
    <row r="33" spans="3:30" x14ac:dyDescent="0.3">
      <c r="C33" s="463"/>
      <c r="D33" s="463"/>
      <c r="E33" s="463"/>
      <c r="F33" s="463"/>
      <c r="G33" s="463"/>
      <c r="H33" s="463"/>
      <c r="I33" s="463"/>
      <c r="J33" s="463"/>
      <c r="K33" s="463"/>
      <c r="L33" s="463"/>
      <c r="M33" s="465"/>
      <c r="N33" s="463"/>
      <c r="O33" s="463"/>
      <c r="P33" s="463"/>
      <c r="Q33" s="463"/>
      <c r="R33" s="463"/>
      <c r="S33" s="463"/>
      <c r="T33" s="463"/>
      <c r="U33" s="463"/>
      <c r="V33" s="463"/>
      <c r="W33" s="465">
        <f>SUM(W5:W22)</f>
        <v>490806.85541950294</v>
      </c>
      <c r="X33" s="465">
        <f t="shared" ref="X33:AD33" si="24">SUM(X5:X22)</f>
        <v>0</v>
      </c>
      <c r="Y33" s="465">
        <f t="shared" si="24"/>
        <v>490806.85541950294</v>
      </c>
      <c r="Z33" s="465">
        <f t="shared" si="24"/>
        <v>0</v>
      </c>
      <c r="AA33" s="465">
        <f t="shared" si="24"/>
        <v>0</v>
      </c>
      <c r="AB33" s="465">
        <f t="shared" si="24"/>
        <v>0</v>
      </c>
      <c r="AC33" s="465">
        <f t="shared" si="24"/>
        <v>4652074.2712500002</v>
      </c>
      <c r="AD33" s="465">
        <f t="shared" si="24"/>
        <v>46520.742712499996</v>
      </c>
    </row>
    <row r="34" spans="3:30" x14ac:dyDescent="0.3">
      <c r="C34" s="463"/>
      <c r="D34" s="463"/>
      <c r="E34" s="463"/>
      <c r="F34" s="463"/>
      <c r="G34" s="463"/>
      <c r="H34" s="463"/>
      <c r="I34" s="463"/>
      <c r="J34" s="463"/>
      <c r="K34" s="463"/>
      <c r="L34" s="463"/>
      <c r="M34" s="463"/>
      <c r="N34" s="463"/>
      <c r="O34" s="463"/>
      <c r="P34" s="463"/>
      <c r="Q34" s="463"/>
      <c r="R34" s="463"/>
      <c r="S34" s="463"/>
      <c r="T34" s="463"/>
      <c r="U34" s="463"/>
      <c r="V34" s="463"/>
    </row>
    <row r="35" spans="3:30" x14ac:dyDescent="0.3">
      <c r="C35" s="463"/>
      <c r="D35" s="463"/>
      <c r="E35" s="463"/>
      <c r="F35" s="463"/>
      <c r="G35" s="463"/>
      <c r="H35" s="463"/>
      <c r="I35" s="463"/>
      <c r="J35" s="463"/>
      <c r="K35" s="463"/>
      <c r="L35" s="463"/>
      <c r="M35" s="463"/>
      <c r="N35" s="463"/>
      <c r="O35" s="463"/>
      <c r="P35" s="463"/>
      <c r="Q35" s="463"/>
      <c r="R35" s="463"/>
      <c r="S35" s="463"/>
      <c r="T35" s="463"/>
      <c r="U35" s="463"/>
      <c r="V35" s="463"/>
    </row>
    <row r="36" spans="3:30" x14ac:dyDescent="0.3">
      <c r="C36" s="463"/>
      <c r="D36" s="463"/>
      <c r="E36" s="463"/>
      <c r="F36" s="463"/>
      <c r="G36" s="463"/>
      <c r="H36" s="463"/>
      <c r="I36" s="463"/>
      <c r="J36" s="463"/>
      <c r="K36" s="463"/>
      <c r="L36" s="463"/>
      <c r="M36" s="463"/>
      <c r="N36" s="463"/>
      <c r="O36" s="463"/>
      <c r="P36" s="463"/>
      <c r="Q36" s="463"/>
      <c r="R36" s="463"/>
      <c r="S36" s="463"/>
      <c r="T36" s="463"/>
      <c r="U36" s="463"/>
      <c r="V36" s="463"/>
    </row>
    <row r="37" spans="3:30" x14ac:dyDescent="0.3">
      <c r="C37" s="463"/>
      <c r="D37" s="463"/>
      <c r="E37" s="463"/>
      <c r="F37" s="463"/>
      <c r="G37" s="463"/>
      <c r="H37" s="463"/>
      <c r="I37" s="463"/>
      <c r="J37" s="463"/>
      <c r="K37" s="463"/>
      <c r="L37" s="463"/>
      <c r="M37" s="463"/>
      <c r="N37" s="463"/>
      <c r="O37" s="463"/>
      <c r="P37" s="463"/>
      <c r="Q37" s="463"/>
      <c r="R37" s="463"/>
      <c r="S37" s="463"/>
      <c r="T37" s="463"/>
      <c r="U37" s="463"/>
      <c r="V37" s="463"/>
    </row>
  </sheetData>
  <mergeCells count="23">
    <mergeCell ref="A2:K2"/>
    <mergeCell ref="AQ7:AW7"/>
    <mergeCell ref="AQ10:AW10"/>
    <mergeCell ref="AQ13:AW13"/>
    <mergeCell ref="AC3:AC4"/>
    <mergeCell ref="AD3:AD4"/>
    <mergeCell ref="L2:O2"/>
    <mergeCell ref="A1:B1"/>
    <mergeCell ref="BA2:BF2"/>
    <mergeCell ref="AB3:AB4"/>
    <mergeCell ref="P2:AB2"/>
    <mergeCell ref="AC2:AH2"/>
    <mergeCell ref="L3:M3"/>
    <mergeCell ref="N3:O3"/>
    <mergeCell ref="P3:P4"/>
    <mergeCell ref="Q3:R3"/>
    <mergeCell ref="S3:T3"/>
    <mergeCell ref="W3:X3"/>
    <mergeCell ref="Y3:Y4"/>
    <mergeCell ref="Z3:Z4"/>
    <mergeCell ref="AA3:AA4"/>
    <mergeCell ref="AQ4:AW4"/>
    <mergeCell ref="AI3:AI4"/>
  </mergeCells>
  <conditionalFormatting sqref="AE5:AF29">
    <cfRule type="cellIs" dxfId="67" priority="13" operator="equal">
      <formula>1</formula>
    </cfRule>
    <cfRule type="cellIs" dxfId="66" priority="14" operator="equal">
      <formula>2</formula>
    </cfRule>
    <cfRule type="cellIs" dxfId="65" priority="15" operator="equal">
      <formula>3</formula>
    </cfRule>
    <cfRule type="cellIs" dxfId="64" priority="16" operator="greaterThan">
      <formula>3.9</formula>
    </cfRule>
  </conditionalFormatting>
  <conditionalFormatting sqref="AH5:AH26">
    <cfRule type="cellIs" dxfId="63" priority="5" operator="between">
      <formula>0</formula>
      <formula>0.2</formula>
    </cfRule>
    <cfRule type="cellIs" dxfId="62" priority="6" operator="between">
      <formula>0.21</formula>
      <formula>0.4</formula>
    </cfRule>
    <cfRule type="cellIs" dxfId="61" priority="7" operator="between">
      <formula>0.41</formula>
      <formula>0.6</formula>
    </cfRule>
    <cfRule type="cellIs" dxfId="60" priority="8" operator="greaterThan">
      <formula>0.6</formula>
    </cfRule>
  </conditionalFormatting>
  <conditionalFormatting sqref="AH27:AH28">
    <cfRule type="cellIs" dxfId="59" priority="1" operator="equal">
      <formula>1</formula>
    </cfRule>
    <cfRule type="cellIs" dxfId="58" priority="2" operator="equal">
      <formula>2</formula>
    </cfRule>
    <cfRule type="cellIs" dxfId="57" priority="3" operator="equal">
      <formula>3</formula>
    </cfRule>
    <cfRule type="cellIs" dxfId="56" priority="4" operator="greaterThan">
      <formula>3.9</formula>
    </cfRule>
  </conditionalFormatting>
  <pageMargins left="0.7" right="0.7" top="0.75" bottom="0.75" header="0.3" footer="0.3"/>
  <pageSetup orientation="portrait" horizontalDpi="4294967293" verticalDpi="0" r:id="rId1"/>
  <headerFooter>
    <oddFooter>&amp;C_x000D_&amp;1#&amp;"Calibri"&amp;8&amp;K000000 INTERNAL. This information is accessible to ADB Management and staff. It may be shared outside ADB with appropriate permission.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626E8B08-E07B-476C-A495-79D3A0070487}">
          <x14:formula1>
            <xm:f>'AR-Hierarchy '!$D$107:$D$109</xm:f>
          </x14:formula1>
          <xm:sqref>D5:D28</xm:sqref>
        </x14:dataValidation>
        <x14:dataValidation type="list" allowBlank="1" showInputMessage="1" showErrorMessage="1" xr:uid="{6CFE5CC4-C63A-4BD5-A377-64E115FF06BC}">
          <x14:formula1>
            <xm:f>'AR-Hierarchy '!$H$136:$H$137</xm:f>
          </x14:formula1>
          <xm:sqref>F5:F28</xm:sqref>
        </x14:dataValidation>
        <x14:dataValidation type="list" allowBlank="1" showInputMessage="1" showErrorMessage="1" xr:uid="{8301465B-ECEA-4ED1-97A4-FBAC9FC8FEE2}">
          <x14:formula1>
            <xm:f>'Condition rating weights'!$C$29:$C$34</xm:f>
          </x14:formula1>
          <xm:sqref>AE5:AG28</xm:sqref>
        </x14:dataValidation>
        <x14:dataValidation type="list" allowBlank="1" showInputMessage="1" showErrorMessage="1" xr:uid="{57E832ED-988C-43B9-B0E3-62E665E16089}">
          <x14:formula1>
            <xm:f>'AR-Hierarchy '!$B$4:$B$53</xm:f>
          </x14:formula1>
          <xm:sqref>C5:C28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5BEC8-A5D9-47EE-AB70-BE9FAFE1033B}">
  <dimension ref="A1:EH25"/>
  <sheetViews>
    <sheetView topLeftCell="AC11" zoomScaleNormal="100" workbookViewId="0">
      <selection activeCell="AF22" sqref="AF22"/>
    </sheetView>
  </sheetViews>
  <sheetFormatPr defaultColWidth="8.81640625" defaultRowHeight="14" x14ac:dyDescent="0.3"/>
  <cols>
    <col min="1" max="24" width="35.6328125" style="289" customWidth="1"/>
    <col min="25" max="38" width="35.6328125" style="365" customWidth="1"/>
    <col min="39" max="45" width="8.81640625" style="282"/>
    <col min="46" max="48" width="8.81640625" style="282" bestFit="1" customWidth="1"/>
    <col min="49" max="49" width="8.81640625" style="282"/>
    <col min="50" max="52" width="8.81640625" style="282" bestFit="1" customWidth="1"/>
    <col min="53" max="54" width="8.81640625" style="282"/>
    <col min="55" max="55" width="12.6328125" style="282" bestFit="1" customWidth="1"/>
    <col min="56" max="56" width="11.1796875" style="282" bestFit="1" customWidth="1"/>
    <col min="57" max="58" width="8.81640625" style="282" bestFit="1" customWidth="1"/>
    <col min="59" max="59" width="11.1796875" style="282" bestFit="1" customWidth="1"/>
    <col min="60" max="60" width="10.81640625" style="282" bestFit="1" customWidth="1"/>
    <col min="61" max="61" width="12.36328125" style="282" customWidth="1"/>
    <col min="62" max="65" width="8.81640625" style="282" bestFit="1" customWidth="1"/>
    <col min="66" max="66" width="11.1796875" style="282" customWidth="1"/>
    <col min="67" max="67" width="16.36328125" style="282" customWidth="1"/>
    <col min="68" max="68" width="10" style="282" customWidth="1"/>
    <col min="69" max="69" width="8.81640625" style="282" bestFit="1" customWidth="1"/>
    <col min="70" max="70" width="9.08984375" style="282" bestFit="1" customWidth="1"/>
    <col min="71" max="72" width="8.81640625" style="282"/>
    <col min="73" max="73" width="10.81640625" style="282" customWidth="1"/>
    <col min="74" max="74" width="8.90625" style="282" bestFit="1" customWidth="1"/>
    <col min="75" max="75" width="9.1796875" style="282" bestFit="1" customWidth="1"/>
    <col min="76" max="77" width="8.90625" style="282" bestFit="1" customWidth="1"/>
    <col min="78" max="78" width="8.81640625" style="282" customWidth="1"/>
    <col min="79" max="79" width="10.08984375" style="282" customWidth="1"/>
    <col min="80" max="83" width="8.81640625" style="282" bestFit="1" customWidth="1"/>
    <col min="84" max="84" width="11.1796875" style="282" bestFit="1" customWidth="1"/>
    <col min="85" max="90" width="11.08984375" style="282" customWidth="1"/>
    <col min="91" max="91" width="9.453125" style="282" customWidth="1"/>
    <col min="92" max="93" width="11.1796875" style="282" bestFit="1" customWidth="1"/>
    <col min="94" max="95" width="8.81640625" style="282" bestFit="1" customWidth="1"/>
    <col min="96" max="96" width="11.1796875" style="282" bestFit="1" customWidth="1"/>
    <col min="97" max="97" width="9.6328125" style="282" customWidth="1"/>
    <col min="98" max="98" width="10.1796875" style="282" bestFit="1" customWidth="1"/>
    <col min="99" max="99" width="9.1796875" style="282" bestFit="1" customWidth="1"/>
    <col min="100" max="101" width="8.81640625" style="282" bestFit="1" customWidth="1"/>
    <col min="102" max="102" width="9.1796875" style="282" bestFit="1" customWidth="1"/>
    <col min="103" max="103" width="12.1796875" style="282" customWidth="1"/>
    <col min="104" max="104" width="10.1796875" style="282" customWidth="1"/>
    <col min="105" max="105" width="9.1796875" style="282" bestFit="1" customWidth="1"/>
    <col min="106" max="108" width="8.81640625" style="282" bestFit="1" customWidth="1"/>
    <col min="109" max="109" width="11.1796875" style="282" bestFit="1" customWidth="1"/>
    <col min="110" max="110" width="9.90625" style="282" customWidth="1"/>
    <col min="111" max="111" width="10.1796875" style="282" bestFit="1" customWidth="1"/>
    <col min="112" max="114" width="8.81640625" style="282" bestFit="1" customWidth="1"/>
    <col min="115" max="115" width="11" style="282" customWidth="1"/>
    <col min="116" max="138" width="8.81640625" style="282"/>
    <col min="139" max="16384" width="8.81640625" style="91"/>
  </cols>
  <sheetData>
    <row r="1" spans="1:115" ht="39" customHeight="1" thickTop="1" x14ac:dyDescent="0.3">
      <c r="A1" s="621" t="s">
        <v>32</v>
      </c>
      <c r="B1" s="622"/>
      <c r="C1" s="288">
        <v>2023</v>
      </c>
    </row>
    <row r="2" spans="1:115" ht="43" customHeight="1" thickBot="1" x14ac:dyDescent="0.35">
      <c r="A2" s="584" t="s">
        <v>1403</v>
      </c>
      <c r="B2" s="585"/>
      <c r="C2" s="585"/>
      <c r="D2" s="585"/>
      <c r="E2" s="585"/>
      <c r="F2" s="585"/>
      <c r="G2" s="585"/>
      <c r="H2" s="585"/>
      <c r="I2" s="585"/>
      <c r="J2" s="585"/>
      <c r="K2" s="585"/>
      <c r="L2" s="585" t="s">
        <v>1405</v>
      </c>
      <c r="M2" s="585"/>
      <c r="N2" s="585"/>
      <c r="O2" s="585"/>
      <c r="P2" s="585"/>
      <c r="Q2" s="586"/>
      <c r="R2" s="592" t="s">
        <v>267</v>
      </c>
      <c r="S2" s="593"/>
      <c r="T2" s="593"/>
      <c r="U2" s="593"/>
      <c r="V2" s="593"/>
      <c r="W2" s="593"/>
      <c r="X2" s="593"/>
      <c r="Y2" s="593"/>
      <c r="Z2" s="593"/>
      <c r="AA2" s="593"/>
      <c r="AB2" s="593"/>
      <c r="AC2" s="593"/>
      <c r="AD2" s="594"/>
      <c r="AE2" s="665" t="s">
        <v>268</v>
      </c>
      <c r="AF2" s="666"/>
      <c r="AG2" s="666"/>
      <c r="AH2" s="666"/>
      <c r="AI2" s="666"/>
      <c r="AJ2" s="666"/>
      <c r="AK2" s="666"/>
      <c r="AL2" s="434"/>
      <c r="BU2" s="638" t="s">
        <v>828</v>
      </c>
      <c r="BV2" s="638"/>
      <c r="BW2" s="638"/>
      <c r="BX2" s="638"/>
      <c r="BY2" s="638"/>
      <c r="BZ2" s="638"/>
      <c r="CA2" s="638"/>
      <c r="CB2" s="638"/>
      <c r="CC2" s="638"/>
      <c r="CD2" s="638"/>
      <c r="CE2" s="638"/>
      <c r="CF2" s="638"/>
      <c r="CG2" s="144"/>
      <c r="CH2" s="144"/>
      <c r="CI2" s="144"/>
      <c r="CJ2" s="144"/>
      <c r="CK2" s="144"/>
      <c r="CL2" s="144"/>
      <c r="CM2" s="638" t="s">
        <v>829</v>
      </c>
      <c r="CN2" s="638"/>
      <c r="CO2" s="638"/>
      <c r="CP2" s="638"/>
      <c r="CQ2" s="638"/>
      <c r="CR2" s="638"/>
      <c r="CS2" s="638"/>
      <c r="CT2" s="638"/>
      <c r="CU2" s="638"/>
      <c r="CV2" s="638"/>
      <c r="CW2" s="638"/>
      <c r="CX2" s="144"/>
      <c r="CY2" s="144"/>
    </row>
    <row r="3" spans="1:115" ht="73" customHeight="1" thickTop="1" x14ac:dyDescent="0.3">
      <c r="A3" s="293" t="s">
        <v>0</v>
      </c>
      <c r="B3" s="294" t="s">
        <v>34</v>
      </c>
      <c r="C3" s="294" t="s">
        <v>250</v>
      </c>
      <c r="D3" s="294" t="s">
        <v>251</v>
      </c>
      <c r="E3" s="294" t="s">
        <v>1</v>
      </c>
      <c r="F3" s="294" t="s">
        <v>2</v>
      </c>
      <c r="G3" s="294" t="s">
        <v>252</v>
      </c>
      <c r="H3" s="294" t="s">
        <v>711</v>
      </c>
      <c r="I3" s="294" t="s">
        <v>712</v>
      </c>
      <c r="J3" s="294" t="s">
        <v>713</v>
      </c>
      <c r="K3" s="294" t="s">
        <v>714</v>
      </c>
      <c r="L3" s="616" t="s">
        <v>253</v>
      </c>
      <c r="M3" s="625"/>
      <c r="N3" s="616" t="s">
        <v>255</v>
      </c>
      <c r="O3" s="626"/>
      <c r="P3" s="616" t="s">
        <v>258</v>
      </c>
      <c r="Q3" s="626"/>
      <c r="R3" s="609" t="s">
        <v>1406</v>
      </c>
      <c r="S3" s="603" t="s">
        <v>38</v>
      </c>
      <c r="T3" s="604"/>
      <c r="U3" s="603" t="s">
        <v>261</v>
      </c>
      <c r="V3" s="591"/>
      <c r="W3" s="296"/>
      <c r="X3" s="296"/>
      <c r="Y3" s="670" t="s">
        <v>262</v>
      </c>
      <c r="Z3" s="670"/>
      <c r="AA3" s="670" t="s">
        <v>263</v>
      </c>
      <c r="AB3" s="670" t="s">
        <v>326</v>
      </c>
      <c r="AC3" s="669" t="s">
        <v>33</v>
      </c>
      <c r="AD3" s="673" t="s">
        <v>264</v>
      </c>
      <c r="AE3" s="673" t="s">
        <v>265</v>
      </c>
      <c r="AF3" s="673" t="s">
        <v>266</v>
      </c>
      <c r="AG3" s="668" t="s">
        <v>53</v>
      </c>
      <c r="AH3" s="670"/>
      <c r="AI3" s="437" t="s">
        <v>1581</v>
      </c>
      <c r="AJ3" s="438"/>
      <c r="AK3" s="436" t="s">
        <v>1442</v>
      </c>
      <c r="AL3" s="671" t="s">
        <v>1428</v>
      </c>
      <c r="AT3" s="476" t="s">
        <v>809</v>
      </c>
      <c r="BC3" s="638" t="s">
        <v>816</v>
      </c>
      <c r="BD3" s="638"/>
      <c r="BE3" s="638"/>
      <c r="BF3" s="638"/>
      <c r="BG3" s="638"/>
      <c r="BH3" s="638"/>
      <c r="BI3" s="638" t="s">
        <v>262</v>
      </c>
      <c r="BJ3" s="638"/>
      <c r="BK3" s="638"/>
      <c r="BL3" s="638"/>
      <c r="BM3" s="638"/>
      <c r="BN3" s="638"/>
      <c r="BO3" s="144"/>
      <c r="BP3" s="638" t="s">
        <v>825</v>
      </c>
      <c r="BQ3" s="638"/>
      <c r="BR3" s="638"/>
      <c r="BS3" s="638"/>
      <c r="BT3" s="638"/>
      <c r="BU3" s="638" t="s">
        <v>827</v>
      </c>
      <c r="BV3" s="638"/>
      <c r="BW3" s="638"/>
      <c r="BX3" s="638"/>
      <c r="BY3" s="638"/>
      <c r="BZ3" s="638"/>
      <c r="CA3" s="638" t="s">
        <v>826</v>
      </c>
      <c r="CB3" s="638"/>
      <c r="CC3" s="638"/>
      <c r="CD3" s="638"/>
      <c r="CE3" s="638"/>
      <c r="CF3" s="638"/>
      <c r="CG3" s="638" t="s">
        <v>833</v>
      </c>
      <c r="CH3" s="638"/>
      <c r="CI3" s="638"/>
      <c r="CJ3" s="638"/>
      <c r="CK3" s="638"/>
      <c r="CL3" s="638"/>
      <c r="CM3" s="638" t="s">
        <v>830</v>
      </c>
      <c r="CN3" s="638"/>
      <c r="CO3" s="638"/>
      <c r="CP3" s="638"/>
      <c r="CQ3" s="638"/>
      <c r="CR3" s="638"/>
      <c r="CS3" s="638" t="s">
        <v>827</v>
      </c>
      <c r="CT3" s="638"/>
      <c r="CU3" s="638"/>
      <c r="CV3" s="638"/>
      <c r="CW3" s="638"/>
      <c r="CX3" s="638"/>
      <c r="CY3" s="144"/>
      <c r="CZ3" s="638" t="s">
        <v>826</v>
      </c>
      <c r="DA3" s="638"/>
      <c r="DB3" s="638"/>
      <c r="DC3" s="638"/>
      <c r="DD3" s="638"/>
      <c r="DE3" s="638"/>
      <c r="DF3" s="638" t="s">
        <v>834</v>
      </c>
      <c r="DG3" s="638"/>
      <c r="DH3" s="638"/>
      <c r="DI3" s="638"/>
      <c r="DJ3" s="638"/>
      <c r="DK3" s="638"/>
    </row>
    <row r="4" spans="1:115" ht="47" customHeight="1" thickBot="1" x14ac:dyDescent="0.35">
      <c r="A4" s="300"/>
      <c r="B4" s="301"/>
      <c r="C4" s="302"/>
      <c r="D4" s="302"/>
      <c r="E4" s="302"/>
      <c r="F4" s="302"/>
      <c r="G4" s="302"/>
      <c r="H4" s="302"/>
      <c r="I4" s="302"/>
      <c r="J4" s="302"/>
      <c r="K4" s="302"/>
      <c r="L4" s="302" t="s">
        <v>760</v>
      </c>
      <c r="M4" s="302" t="s">
        <v>761</v>
      </c>
      <c r="N4" s="302" t="s">
        <v>256</v>
      </c>
      <c r="O4" s="302" t="s">
        <v>735</v>
      </c>
      <c r="P4" s="302" t="s">
        <v>256</v>
      </c>
      <c r="Q4" s="302" t="s">
        <v>736</v>
      </c>
      <c r="R4" s="610"/>
      <c r="S4" s="349" t="s">
        <v>38</v>
      </c>
      <c r="T4" s="302" t="s">
        <v>260</v>
      </c>
      <c r="U4" s="302" t="s">
        <v>261</v>
      </c>
      <c r="V4" s="302" t="s">
        <v>260</v>
      </c>
      <c r="W4" s="302" t="s">
        <v>1407</v>
      </c>
      <c r="X4" s="302" t="s">
        <v>716</v>
      </c>
      <c r="Y4" s="439" t="s">
        <v>262</v>
      </c>
      <c r="Z4" s="439" t="s">
        <v>260</v>
      </c>
      <c r="AA4" s="675"/>
      <c r="AB4" s="675"/>
      <c r="AC4" s="676"/>
      <c r="AD4" s="674"/>
      <c r="AE4" s="674"/>
      <c r="AF4" s="674"/>
      <c r="AG4" s="439" t="s">
        <v>760</v>
      </c>
      <c r="AH4" s="439" t="s">
        <v>761</v>
      </c>
      <c r="AI4" s="439"/>
      <c r="AJ4" s="439"/>
      <c r="AK4" s="477" t="s">
        <v>37</v>
      </c>
      <c r="AL4" s="672"/>
      <c r="AT4" s="638" t="s">
        <v>810</v>
      </c>
      <c r="AU4" s="638"/>
      <c r="AV4" s="638"/>
      <c r="AW4" s="638"/>
      <c r="AX4" s="638"/>
      <c r="AY4" s="638"/>
      <c r="AZ4" s="638"/>
      <c r="BC4" s="359" t="s">
        <v>810</v>
      </c>
      <c r="BD4" s="359" t="s">
        <v>811</v>
      </c>
      <c r="BE4" s="359" t="s">
        <v>812</v>
      </c>
      <c r="BF4" s="359" t="s">
        <v>813</v>
      </c>
      <c r="BG4" s="359" t="s">
        <v>821</v>
      </c>
      <c r="BH4" s="359" t="s">
        <v>823</v>
      </c>
      <c r="BI4" s="359" t="s">
        <v>810</v>
      </c>
      <c r="BJ4" s="359" t="s">
        <v>811</v>
      </c>
      <c r="BK4" s="359" t="s">
        <v>812</v>
      </c>
      <c r="BL4" s="359" t="s">
        <v>813</v>
      </c>
      <c r="BM4" s="359" t="s">
        <v>821</v>
      </c>
      <c r="BN4" s="359" t="s">
        <v>824</v>
      </c>
      <c r="BO4" s="359" t="s">
        <v>831</v>
      </c>
      <c r="BP4" s="359" t="s">
        <v>810</v>
      </c>
      <c r="BQ4" s="359" t="s">
        <v>811</v>
      </c>
      <c r="BR4" s="359" t="s">
        <v>812</v>
      </c>
      <c r="BS4" s="359" t="s">
        <v>813</v>
      </c>
      <c r="BT4" s="359" t="s">
        <v>821</v>
      </c>
      <c r="BU4" s="359" t="s">
        <v>810</v>
      </c>
      <c r="BV4" s="359" t="s">
        <v>811</v>
      </c>
      <c r="BW4" s="359" t="s">
        <v>812</v>
      </c>
      <c r="BX4" s="359" t="s">
        <v>813</v>
      </c>
      <c r="BY4" s="359" t="s">
        <v>821</v>
      </c>
      <c r="BZ4" s="359" t="s">
        <v>52</v>
      </c>
      <c r="CA4" s="359" t="s">
        <v>810</v>
      </c>
      <c r="CB4" s="359" t="s">
        <v>811</v>
      </c>
      <c r="CC4" s="359" t="s">
        <v>812</v>
      </c>
      <c r="CD4" s="359" t="s">
        <v>813</v>
      </c>
      <c r="CE4" s="359" t="s">
        <v>821</v>
      </c>
      <c r="CF4" s="359" t="s">
        <v>52</v>
      </c>
      <c r="CG4" s="359" t="s">
        <v>810</v>
      </c>
      <c r="CH4" s="359" t="s">
        <v>811</v>
      </c>
      <c r="CI4" s="359" t="s">
        <v>812</v>
      </c>
      <c r="CJ4" s="359" t="s">
        <v>813</v>
      </c>
      <c r="CK4" s="359" t="s">
        <v>821</v>
      </c>
      <c r="CL4" s="359" t="s">
        <v>52</v>
      </c>
      <c r="CM4" s="359" t="s">
        <v>810</v>
      </c>
      <c r="CN4" s="359" t="s">
        <v>811</v>
      </c>
      <c r="CO4" s="359" t="s">
        <v>812</v>
      </c>
      <c r="CP4" s="359" t="s">
        <v>813</v>
      </c>
      <c r="CQ4" s="359" t="s">
        <v>821</v>
      </c>
      <c r="CR4" s="359" t="s">
        <v>52</v>
      </c>
      <c r="CS4" s="359" t="s">
        <v>810</v>
      </c>
      <c r="CT4" s="359" t="s">
        <v>811</v>
      </c>
      <c r="CU4" s="359" t="s">
        <v>812</v>
      </c>
      <c r="CV4" s="359" t="s">
        <v>813</v>
      </c>
      <c r="CW4" s="359" t="s">
        <v>821</v>
      </c>
      <c r="CX4" s="359" t="s">
        <v>52</v>
      </c>
      <c r="CY4" s="359" t="s">
        <v>832</v>
      </c>
      <c r="CZ4" s="359" t="s">
        <v>810</v>
      </c>
      <c r="DA4" s="359" t="s">
        <v>811</v>
      </c>
      <c r="DB4" s="359" t="s">
        <v>812</v>
      </c>
      <c r="DC4" s="359" t="s">
        <v>813</v>
      </c>
      <c r="DD4" s="359" t="s">
        <v>821</v>
      </c>
      <c r="DE4" s="359" t="s">
        <v>52</v>
      </c>
      <c r="DF4" s="359" t="s">
        <v>810</v>
      </c>
      <c r="DG4" s="359" t="s">
        <v>811</v>
      </c>
      <c r="DH4" s="359" t="s">
        <v>812</v>
      </c>
      <c r="DI4" s="359" t="s">
        <v>813</v>
      </c>
      <c r="DJ4" s="359" t="s">
        <v>821</v>
      </c>
      <c r="DK4" s="359" t="s">
        <v>52</v>
      </c>
    </row>
    <row r="5" spans="1:115" ht="35" customHeight="1" thickTop="1" x14ac:dyDescent="0.3">
      <c r="A5" s="312" t="s">
        <v>1328</v>
      </c>
      <c r="B5" s="442" t="s">
        <v>842</v>
      </c>
      <c r="C5" s="313" t="s">
        <v>1251</v>
      </c>
      <c r="D5" s="314" t="s">
        <v>141</v>
      </c>
      <c r="E5" s="314" t="s">
        <v>843</v>
      </c>
      <c r="F5" s="314" t="s">
        <v>212</v>
      </c>
      <c r="G5" s="313" t="s">
        <v>848</v>
      </c>
      <c r="H5" s="313" t="s">
        <v>844</v>
      </c>
      <c r="I5" s="313" t="s">
        <v>845</v>
      </c>
      <c r="J5" s="313" t="s">
        <v>846</v>
      </c>
      <c r="K5" s="313" t="s">
        <v>847</v>
      </c>
      <c r="L5" s="314" t="s">
        <v>54</v>
      </c>
      <c r="M5" s="314" t="s">
        <v>11</v>
      </c>
      <c r="N5" s="313" t="s">
        <v>194</v>
      </c>
      <c r="O5" s="320">
        <v>800</v>
      </c>
      <c r="P5" s="313" t="s">
        <v>194</v>
      </c>
      <c r="Q5" s="313">
        <v>8</v>
      </c>
      <c r="R5" s="313">
        <v>10</v>
      </c>
      <c r="S5" s="314">
        <v>1960</v>
      </c>
      <c r="T5" s="313" t="s">
        <v>800</v>
      </c>
      <c r="U5" s="313">
        <f t="shared" ref="U5:V12" si="0">S5</f>
        <v>1960</v>
      </c>
      <c r="V5" s="313" t="str">
        <f t="shared" si="0"/>
        <v>Estimated</v>
      </c>
      <c r="W5" s="314">
        <v>2015</v>
      </c>
      <c r="X5" s="314" t="s">
        <v>1152</v>
      </c>
      <c r="Y5" s="444">
        <f>BN5+CR5</f>
        <v>168628.57947085556</v>
      </c>
      <c r="Z5" s="314" t="s">
        <v>800</v>
      </c>
      <c r="AA5" s="510">
        <f>CF5+DE5</f>
        <v>109972.2760848109</v>
      </c>
      <c r="AB5" s="515">
        <f>Y5-AA5</f>
        <v>58656.303386044659</v>
      </c>
      <c r="AC5" s="510">
        <f>CL5+DK5</f>
        <v>12015.243712554589</v>
      </c>
      <c r="AD5" s="515">
        <f>AB5-AC5</f>
        <v>46641.059673490068</v>
      </c>
      <c r="AE5" s="510">
        <f>HLOOKUP($C$1,'Inflation Adjustments'!$BI$3:$BT$4,2)*BH5</f>
        <v>735637.98</v>
      </c>
      <c r="AF5" s="510">
        <f>IF(AL5="In Service",AE5*'Maintenace Cost Assumptions'!B$4,0)</f>
        <v>36781.898999999998</v>
      </c>
      <c r="AG5" s="313">
        <v>4</v>
      </c>
      <c r="AH5" s="313">
        <v>4</v>
      </c>
      <c r="AI5" s="313">
        <v>5</v>
      </c>
      <c r="AJ5" s="357"/>
      <c r="AK5" s="474">
        <f>(AG5*'Condition rating weights'!H$24+AH5*'Condition rating weights'!I$24+AI5*'Condition rating weights'!R$24+AJ5*'Condition rating weights'!S$24)/100</f>
        <v>0.86</v>
      </c>
      <c r="AL5" s="446" t="s">
        <v>1430</v>
      </c>
      <c r="AT5" s="478" t="str">
        <f>'GRC and TUL Assumptions'!C24</f>
        <v>Flat</v>
      </c>
      <c r="AU5" s="478" t="str">
        <f>'GRC and TUL Assumptions'!D24</f>
        <v>Rolling</v>
      </c>
      <c r="AV5" s="478" t="str">
        <f>'GRC and TUL Assumptions'!E24</f>
        <v>Steep</v>
      </c>
      <c r="AX5" s="282" t="s">
        <v>12</v>
      </c>
      <c r="AY5" s="282" t="s">
        <v>54</v>
      </c>
      <c r="AZ5" s="282" t="s">
        <v>184</v>
      </c>
      <c r="BB5" s="282" t="str">
        <f t="shared" ref="BB5:BB12" si="1">A5</f>
        <v>URNR-001</v>
      </c>
      <c r="BC5" s="479">
        <f t="shared" ref="BC5:BC12" si="2">(HLOOKUP(L5,$AT$5:$AV$6,2,TRUE))*O5*Q5</f>
        <v>352000</v>
      </c>
      <c r="BD5" s="479">
        <f t="shared" ref="BD5:BD12" si="3">(HLOOKUP(M5,$AT$8:$AV$9,2,TRUE))*O5*Q5</f>
        <v>140800</v>
      </c>
      <c r="BE5" s="479">
        <v>0</v>
      </c>
      <c r="BF5" s="479">
        <v>0</v>
      </c>
      <c r="BG5" s="479">
        <v>0</v>
      </c>
      <c r="BH5" s="480">
        <f t="shared" ref="BH5:BH12" si="4">SUM(BC5:BG5)</f>
        <v>492800</v>
      </c>
      <c r="BI5" s="480">
        <f>(HLOOKUP($U5,'Inflation Adjustments'!$B$3:$BT$4,2,TRUE))*BC5</f>
        <v>34625.81596093547</v>
      </c>
      <c r="BJ5" s="480">
        <f>(HLOOKUP($U5,'Inflation Adjustments'!$B$3:$BT$4,2,TRUE))*BD5</f>
        <v>13850.326384374188</v>
      </c>
      <c r="BK5" s="480">
        <v>0</v>
      </c>
      <c r="BL5" s="480">
        <v>0</v>
      </c>
      <c r="BM5" s="480">
        <v>0</v>
      </c>
      <c r="BN5" s="480">
        <f t="shared" ref="BN5:BN12" si="5">SUM(BI5:BM5)</f>
        <v>48476.142345309658</v>
      </c>
      <c r="BO5" s="384">
        <f t="shared" ref="BO5:BO12" si="6">$C$1-U5-1</f>
        <v>62</v>
      </c>
      <c r="BP5" s="144" t="s">
        <v>179</v>
      </c>
      <c r="BQ5" s="384">
        <f t="shared" ref="BQ5:BQ12" si="7">HLOOKUP(M5,$AX$8:$AZ$9,2,TRUE)</f>
        <v>10</v>
      </c>
      <c r="BR5" s="384" t="s">
        <v>179</v>
      </c>
      <c r="BS5" s="384" t="s">
        <v>179</v>
      </c>
      <c r="BT5" s="144" t="s">
        <v>179</v>
      </c>
      <c r="BU5" s="481">
        <v>0</v>
      </c>
      <c r="BV5" s="479">
        <f>1/BQ5*BJ5</f>
        <v>1385.0326384374189</v>
      </c>
      <c r="BW5" s="479">
        <v>0</v>
      </c>
      <c r="BX5" s="479">
        <v>0</v>
      </c>
      <c r="BY5" s="479">
        <v>0</v>
      </c>
      <c r="BZ5" s="479">
        <f>SUM(BU5:BY5)</f>
        <v>1385.0326384374189</v>
      </c>
      <c r="CA5" s="481">
        <v>0</v>
      </c>
      <c r="CB5" s="479">
        <f>IF(BV5*$BO5&gt;BJ5,BJ5,BV5*$BO5)</f>
        <v>13850.326384374188</v>
      </c>
      <c r="CC5" s="479">
        <f>IF(BW5*$BO5&gt;BK5,BK5,BW5*$BO5)</f>
        <v>0</v>
      </c>
      <c r="CD5" s="479">
        <f>IF(BX5*$BO5&gt;BL5,BL5,BX5*$BO5)</f>
        <v>0</v>
      </c>
      <c r="CE5" s="479">
        <f>IF(BY5*$BO5&gt;BM5,BM5,BY5*$BO5)</f>
        <v>0</v>
      </c>
      <c r="CF5" s="480">
        <f>SUM(CA5:CE5)</f>
        <v>13850.326384374188</v>
      </c>
      <c r="CG5" s="481">
        <v>0</v>
      </c>
      <c r="CH5" s="479">
        <f>IF(BV5&lt;(BJ5-CB5),BV5,(BJ5-CB5))</f>
        <v>0</v>
      </c>
      <c r="CI5" s="479">
        <f>IF(BW5&lt;(BK5-CC5),BW5,(BK5-CC5))</f>
        <v>0</v>
      </c>
      <c r="CJ5" s="479">
        <f t="shared" ref="CJ5:CK12" si="8">IF(BX5&lt;(BL5-CD5),BX5,(BL5-CD5))</f>
        <v>0</v>
      </c>
      <c r="CK5" s="479">
        <f t="shared" si="8"/>
        <v>0</v>
      </c>
      <c r="CL5" s="480">
        <f>SUM(CG5:CK5)</f>
        <v>0</v>
      </c>
      <c r="CM5" s="481">
        <v>0</v>
      </c>
      <c r="CN5" s="480">
        <f>(HLOOKUP($W5,'Inflation Adjustments'!$B$3:$BT$4,2,TRUE))*BD5</f>
        <v>120152.4371255459</v>
      </c>
      <c r="CO5" s="480">
        <f>(HLOOKUP($W5,'Inflation Adjustments'!$M$3:$BT$4,2,TRUE))*BE5</f>
        <v>0</v>
      </c>
      <c r="CP5" s="481">
        <v>0</v>
      </c>
      <c r="CQ5" s="481">
        <v>0</v>
      </c>
      <c r="CR5" s="480">
        <f>SUM(CM5:CQ5)</f>
        <v>120152.4371255459</v>
      </c>
      <c r="CS5" s="482">
        <v>0</v>
      </c>
      <c r="CT5" s="480">
        <f>CR5/BQ5</f>
        <v>12015.243712554589</v>
      </c>
      <c r="CU5" s="479">
        <v>0</v>
      </c>
      <c r="CV5" s="482">
        <v>0</v>
      </c>
      <c r="CW5" s="482">
        <v>0</v>
      </c>
      <c r="CX5" s="480">
        <f>SUM(CS5:CW5)</f>
        <v>12015.243712554589</v>
      </c>
      <c r="CY5" s="282">
        <f t="shared" ref="CY5:CY12" si="9">$C$1-W5</f>
        <v>8</v>
      </c>
      <c r="CZ5" s="482">
        <v>0</v>
      </c>
      <c r="DA5" s="479">
        <f>IF(CT5*$CY5&gt;CN5,CN5,CT5*$CY5)</f>
        <v>96121.949700436715</v>
      </c>
      <c r="DB5" s="479">
        <v>0</v>
      </c>
      <c r="DC5" s="482">
        <v>0</v>
      </c>
      <c r="DD5" s="482">
        <v>0</v>
      </c>
      <c r="DE5" s="480">
        <f>SUM(CZ5:DD5)</f>
        <v>96121.949700436715</v>
      </c>
      <c r="DF5" s="482">
        <v>0</v>
      </c>
      <c r="DG5" s="479">
        <f>IF(CT5&lt;(CN5-DA5),CT5,(CN5-DA5))</f>
        <v>12015.243712554589</v>
      </c>
      <c r="DH5" s="481">
        <f>IF(CU5&lt;(CR5-DE5),CU5,(CR5-DE5))</f>
        <v>0</v>
      </c>
      <c r="DI5" s="481">
        <v>0</v>
      </c>
      <c r="DJ5" s="481">
        <v>0</v>
      </c>
      <c r="DK5" s="480">
        <f>SUM(DF5:DJ5)</f>
        <v>12015.243712554589</v>
      </c>
    </row>
    <row r="6" spans="1:115" ht="35" customHeight="1" x14ac:dyDescent="0.3">
      <c r="A6" s="330" t="s">
        <v>1329</v>
      </c>
      <c r="B6" s="451" t="s">
        <v>866</v>
      </c>
      <c r="C6" s="318" t="s">
        <v>1251</v>
      </c>
      <c r="D6" s="318" t="s">
        <v>141</v>
      </c>
      <c r="E6" s="318" t="s">
        <v>843</v>
      </c>
      <c r="F6" s="318" t="s">
        <v>212</v>
      </c>
      <c r="G6" s="318" t="s">
        <v>849</v>
      </c>
      <c r="H6" s="318" t="str">
        <f t="shared" ref="H6:I8" si="10">J5</f>
        <v>S   00.54469</v>
      </c>
      <c r="I6" s="318" t="str">
        <f t="shared" si="10"/>
        <v>E 166.92061</v>
      </c>
      <c r="J6" s="318" t="s">
        <v>850</v>
      </c>
      <c r="K6" s="318" t="s">
        <v>851</v>
      </c>
      <c r="L6" s="318" t="s">
        <v>54</v>
      </c>
      <c r="M6" s="318" t="s">
        <v>11</v>
      </c>
      <c r="N6" s="318" t="s">
        <v>194</v>
      </c>
      <c r="O6" s="333">
        <v>1800</v>
      </c>
      <c r="P6" s="318" t="s">
        <v>194</v>
      </c>
      <c r="Q6" s="318">
        <v>8</v>
      </c>
      <c r="R6" s="318">
        <v>10</v>
      </c>
      <c r="S6" s="318">
        <v>1960</v>
      </c>
      <c r="T6" s="318" t="s">
        <v>800</v>
      </c>
      <c r="U6" s="318">
        <f t="shared" si="0"/>
        <v>1960</v>
      </c>
      <c r="V6" s="318" t="str">
        <f t="shared" si="0"/>
        <v>Estimated</v>
      </c>
      <c r="W6" s="318">
        <v>2015</v>
      </c>
      <c r="X6" s="318" t="s">
        <v>1152</v>
      </c>
      <c r="Y6" s="452">
        <f>BN6+CR6</f>
        <v>379414.30380942498</v>
      </c>
      <c r="Z6" s="318" t="s">
        <v>800</v>
      </c>
      <c r="AA6" s="511">
        <f>CF6+DE6</f>
        <v>247437.62119082455</v>
      </c>
      <c r="AB6" s="516">
        <f>Y6-AA6</f>
        <v>131976.68261860043</v>
      </c>
      <c r="AC6" s="511">
        <f>CL6+DK6</f>
        <v>27034.298353247828</v>
      </c>
      <c r="AD6" s="516">
        <f>AB6-AC6</f>
        <v>104942.38426535261</v>
      </c>
      <c r="AE6" s="511">
        <f>HLOOKUP($C$1,'Inflation Adjustments'!$BI$3:$BT$4,2)*BH6</f>
        <v>1655185.4549999998</v>
      </c>
      <c r="AF6" s="511">
        <f>IF(AL6="In Service",AE6*'Maintenace Cost Assumptions'!B$4,0)</f>
        <v>82759.272750000004</v>
      </c>
      <c r="AG6" s="318">
        <v>4</v>
      </c>
      <c r="AH6" s="318">
        <v>4</v>
      </c>
      <c r="AI6" s="318">
        <v>5</v>
      </c>
      <c r="AJ6" s="357"/>
      <c r="AK6" s="338">
        <f>(AG6*'Condition rating weights'!H$24+AH6*'Condition rating weights'!I$24+AI6*'Condition rating weights'!R$24+AJ6*'Condition rating weights'!S$24)/100</f>
        <v>0.86</v>
      </c>
      <c r="AL6" s="454" t="s">
        <v>1430</v>
      </c>
      <c r="AT6" s="282">
        <f>'GRC and TUL Assumptions'!C25</f>
        <v>40</v>
      </c>
      <c r="AU6" s="282">
        <f>'GRC and TUL Assumptions'!D25</f>
        <v>55</v>
      </c>
      <c r="AV6" s="282">
        <f>'GRC and TUL Assumptions'!E25</f>
        <v>110</v>
      </c>
      <c r="AX6" s="478" t="str">
        <f>'GRC and TUL Assumptions'!F25</f>
        <v>N/A</v>
      </c>
      <c r="AY6" s="478" t="str">
        <f>'GRC and TUL Assumptions'!G25</f>
        <v>N/A</v>
      </c>
      <c r="AZ6" s="478" t="str">
        <f>'GRC and TUL Assumptions'!H25</f>
        <v>N/A</v>
      </c>
      <c r="BB6" s="282" t="str">
        <f t="shared" si="1"/>
        <v>URNR-002</v>
      </c>
      <c r="BC6" s="479">
        <f t="shared" si="2"/>
        <v>792000</v>
      </c>
      <c r="BD6" s="479">
        <f t="shared" si="3"/>
        <v>316800</v>
      </c>
      <c r="BE6" s="479">
        <v>0</v>
      </c>
      <c r="BF6" s="479">
        <v>0</v>
      </c>
      <c r="BG6" s="479">
        <v>0</v>
      </c>
      <c r="BH6" s="480">
        <f t="shared" si="4"/>
        <v>1108800</v>
      </c>
      <c r="BI6" s="480">
        <f>(HLOOKUP($U6,'Inflation Adjustments'!$B$3:$BT$4,2,TRUE))*BC6</f>
        <v>77908.085912104798</v>
      </c>
      <c r="BJ6" s="480">
        <f>(HLOOKUP($U6,'Inflation Adjustments'!$B$3:$BT$4,2,TRUE))*BD6</f>
        <v>31163.234364841923</v>
      </c>
      <c r="BK6" s="480">
        <v>0</v>
      </c>
      <c r="BL6" s="480">
        <v>0</v>
      </c>
      <c r="BM6" s="480">
        <v>0</v>
      </c>
      <c r="BN6" s="480">
        <f t="shared" si="5"/>
        <v>109071.32027694672</v>
      </c>
      <c r="BO6" s="384">
        <f t="shared" si="6"/>
        <v>62</v>
      </c>
      <c r="BP6" s="144" t="s">
        <v>179</v>
      </c>
      <c r="BQ6" s="384">
        <f t="shared" si="7"/>
        <v>10</v>
      </c>
      <c r="BR6" s="384" t="s">
        <v>179</v>
      </c>
      <c r="BS6" s="384" t="s">
        <v>179</v>
      </c>
      <c r="BT6" s="144" t="s">
        <v>179</v>
      </c>
      <c r="BU6" s="481">
        <v>0</v>
      </c>
      <c r="BV6" s="479">
        <f t="shared" ref="BV6:BV12" si="11">1/BQ6*BJ6</f>
        <v>3116.3234364841924</v>
      </c>
      <c r="BW6" s="479">
        <v>0</v>
      </c>
      <c r="BX6" s="479">
        <v>0</v>
      </c>
      <c r="BY6" s="479">
        <v>0</v>
      </c>
      <c r="BZ6" s="479">
        <f t="shared" ref="BZ6:BZ12" si="12">SUM(BU6:BY6)</f>
        <v>3116.3234364841924</v>
      </c>
      <c r="CA6" s="481">
        <v>0</v>
      </c>
      <c r="CB6" s="479">
        <f t="shared" ref="CB6:CE12" si="13">IF(BV6*$BO6&gt;BJ6,BJ6,BV6*$BO6)</f>
        <v>31163.234364841923</v>
      </c>
      <c r="CC6" s="479">
        <f t="shared" si="13"/>
        <v>0</v>
      </c>
      <c r="CD6" s="479">
        <f t="shared" si="13"/>
        <v>0</v>
      </c>
      <c r="CE6" s="479">
        <f t="shared" si="13"/>
        <v>0</v>
      </c>
      <c r="CF6" s="480">
        <f t="shared" ref="CF6:CF12" si="14">SUM(CA6:CE6)</f>
        <v>31163.234364841923</v>
      </c>
      <c r="CG6" s="481">
        <v>0</v>
      </c>
      <c r="CH6" s="479">
        <f t="shared" ref="CH6:CI12" si="15">IF(BV6&lt;(BJ6-CB6),BV6,(BJ6-CB6))</f>
        <v>0</v>
      </c>
      <c r="CI6" s="479">
        <f t="shared" si="15"/>
        <v>0</v>
      </c>
      <c r="CJ6" s="479">
        <f t="shared" si="8"/>
        <v>0</v>
      </c>
      <c r="CK6" s="479">
        <f t="shared" si="8"/>
        <v>0</v>
      </c>
      <c r="CL6" s="480">
        <f t="shared" ref="CL6:CL12" si="16">SUM(CG6:CK6)</f>
        <v>0</v>
      </c>
      <c r="CM6" s="481">
        <v>0</v>
      </c>
      <c r="CN6" s="480">
        <f>(HLOOKUP($W6,'Inflation Adjustments'!$B$3:$BT$4,2,TRUE))*BD6</f>
        <v>270342.98353247828</v>
      </c>
      <c r="CO6" s="480">
        <f>(HLOOKUP($W6,'Inflation Adjustments'!$M$3:$BT$4,2,TRUE))*BE6</f>
        <v>0</v>
      </c>
      <c r="CP6" s="481">
        <v>0</v>
      </c>
      <c r="CQ6" s="481">
        <v>0</v>
      </c>
      <c r="CR6" s="480">
        <f t="shared" ref="CR6:CR12" si="17">SUM(CM6:CQ6)</f>
        <v>270342.98353247828</v>
      </c>
      <c r="CS6" s="482">
        <v>0</v>
      </c>
      <c r="CT6" s="480">
        <f t="shared" ref="CT6:CT12" si="18">CR6/BQ6</f>
        <v>27034.298353247828</v>
      </c>
      <c r="CU6" s="479">
        <v>0</v>
      </c>
      <c r="CV6" s="482">
        <v>0</v>
      </c>
      <c r="CW6" s="482">
        <v>0</v>
      </c>
      <c r="CX6" s="480">
        <f t="shared" ref="CX6:CX12" si="19">SUM(CS6:CW6)</f>
        <v>27034.298353247828</v>
      </c>
      <c r="CY6" s="282">
        <f t="shared" si="9"/>
        <v>8</v>
      </c>
      <c r="CZ6" s="482">
        <v>0</v>
      </c>
      <c r="DA6" s="479">
        <f t="shared" ref="DA6:DA12" si="20">IF(CT6*$CY6&gt;CN6,CN6,CT6*$CY6)</f>
        <v>216274.38682598263</v>
      </c>
      <c r="DB6" s="479">
        <v>0</v>
      </c>
      <c r="DC6" s="482">
        <v>0</v>
      </c>
      <c r="DD6" s="482">
        <v>0</v>
      </c>
      <c r="DE6" s="480">
        <f t="shared" ref="DE6:DE12" si="21">SUM(CZ6:DD6)</f>
        <v>216274.38682598263</v>
      </c>
      <c r="DF6" s="482">
        <v>0</v>
      </c>
      <c r="DG6" s="479">
        <f t="shared" ref="DG6:DG12" si="22">IF(CT6&lt;(CN6-DA6),CT6,(CN6-DA6))</f>
        <v>27034.298353247828</v>
      </c>
      <c r="DH6" s="481">
        <f t="shared" ref="DH6:DH12" si="23">IF(CU6&lt;(CR6-DE6),CU6,(CR6-DE6))</f>
        <v>0</v>
      </c>
      <c r="DI6" s="481">
        <v>0</v>
      </c>
      <c r="DJ6" s="481">
        <v>0</v>
      </c>
      <c r="DK6" s="480">
        <f t="shared" ref="DK6:DK12" si="24">SUM(DF6:DJ6)</f>
        <v>27034.298353247828</v>
      </c>
    </row>
    <row r="7" spans="1:115" ht="35" customHeight="1" x14ac:dyDescent="0.3">
      <c r="A7" s="330" t="s">
        <v>1330</v>
      </c>
      <c r="B7" s="451" t="s">
        <v>856</v>
      </c>
      <c r="C7" s="318" t="s">
        <v>1251</v>
      </c>
      <c r="D7" s="318" t="s">
        <v>141</v>
      </c>
      <c r="E7" s="318" t="s">
        <v>843</v>
      </c>
      <c r="F7" s="318" t="s">
        <v>212</v>
      </c>
      <c r="G7" s="318" t="s">
        <v>852</v>
      </c>
      <c r="H7" s="318" t="str">
        <f t="shared" si="10"/>
        <v>S   00.54092</v>
      </c>
      <c r="I7" s="318" t="str">
        <f t="shared" si="10"/>
        <v>E 166.93217</v>
      </c>
      <c r="J7" s="318" t="s">
        <v>867</v>
      </c>
      <c r="K7" s="318" t="s">
        <v>868</v>
      </c>
      <c r="L7" s="318" t="s">
        <v>54</v>
      </c>
      <c r="M7" s="318" t="s">
        <v>11</v>
      </c>
      <c r="N7" s="318" t="s">
        <v>194</v>
      </c>
      <c r="O7" s="333">
        <v>1500</v>
      </c>
      <c r="P7" s="318" t="s">
        <v>194</v>
      </c>
      <c r="Q7" s="318">
        <v>8</v>
      </c>
      <c r="R7" s="318">
        <v>10</v>
      </c>
      <c r="S7" s="318">
        <v>1960</v>
      </c>
      <c r="T7" s="318" t="s">
        <v>800</v>
      </c>
      <c r="U7" s="318">
        <f t="shared" si="0"/>
        <v>1960</v>
      </c>
      <c r="V7" s="318" t="str">
        <f t="shared" si="0"/>
        <v>Estimated</v>
      </c>
      <c r="W7" s="318">
        <v>2015</v>
      </c>
      <c r="X7" s="318" t="s">
        <v>1152</v>
      </c>
      <c r="Y7" s="452">
        <f t="shared" ref="Y7:Y12" si="25">BN7+CR7</f>
        <v>316178.58650785417</v>
      </c>
      <c r="Z7" s="318" t="s">
        <v>800</v>
      </c>
      <c r="AA7" s="511">
        <f t="shared" ref="AA7:AA12" si="26">CF7+DE7</f>
        <v>206198.01765902044</v>
      </c>
      <c r="AB7" s="516">
        <f t="shared" ref="AB7:AB12" si="27">Y7-AA7</f>
        <v>109980.56884883373</v>
      </c>
      <c r="AC7" s="511">
        <f t="shared" ref="AC7:AC12" si="28">CL7+DK7</f>
        <v>22528.581961039854</v>
      </c>
      <c r="AD7" s="516">
        <f t="shared" ref="AD7:AD12" si="29">AB7-AC7</f>
        <v>87451.986887793872</v>
      </c>
      <c r="AE7" s="511">
        <f>HLOOKUP($C$1,'Inflation Adjustments'!$BI$3:$BT$4,2)*BH7</f>
        <v>1379321.2124999999</v>
      </c>
      <c r="AF7" s="511">
        <f>IF(AL7="In Service",AE7*'Maintenace Cost Assumptions'!B$4,0)</f>
        <v>68966.060624999998</v>
      </c>
      <c r="AG7" s="318">
        <v>4</v>
      </c>
      <c r="AH7" s="318">
        <v>4</v>
      </c>
      <c r="AI7" s="318">
        <v>5</v>
      </c>
      <c r="AJ7" s="357"/>
      <c r="AK7" s="338">
        <f>(AG7*'Condition rating weights'!H$24+AH7*'Condition rating weights'!I$24+AI7*'Condition rating weights'!R$24+AJ7*'Condition rating weights'!S$24)/100</f>
        <v>0.86</v>
      </c>
      <c r="AL7" s="454" t="s">
        <v>1430</v>
      </c>
      <c r="AT7" s="638" t="s">
        <v>811</v>
      </c>
      <c r="AU7" s="638"/>
      <c r="AV7" s="638"/>
      <c r="AW7" s="638"/>
      <c r="AX7" s="638"/>
      <c r="AY7" s="638"/>
      <c r="AZ7" s="638"/>
      <c r="BB7" s="282" t="str">
        <f t="shared" si="1"/>
        <v>URNR-003</v>
      </c>
      <c r="BC7" s="479">
        <f t="shared" si="2"/>
        <v>660000</v>
      </c>
      <c r="BD7" s="479">
        <f t="shared" si="3"/>
        <v>264000</v>
      </c>
      <c r="BE7" s="479">
        <v>0</v>
      </c>
      <c r="BF7" s="479">
        <v>0</v>
      </c>
      <c r="BG7" s="479">
        <v>0</v>
      </c>
      <c r="BH7" s="480">
        <f t="shared" si="4"/>
        <v>924000</v>
      </c>
      <c r="BI7" s="480">
        <f>(HLOOKUP($U7,'Inflation Adjustments'!$B$3:$BT$4,2,TRUE))*BC7</f>
        <v>64923.404926754003</v>
      </c>
      <c r="BJ7" s="480">
        <f>(HLOOKUP($U7,'Inflation Adjustments'!$B$3:$BT$4,2,TRUE))*BD7</f>
        <v>25969.361970701601</v>
      </c>
      <c r="BK7" s="480">
        <v>0</v>
      </c>
      <c r="BL7" s="480">
        <v>0</v>
      </c>
      <c r="BM7" s="480">
        <v>0</v>
      </c>
      <c r="BN7" s="480">
        <f t="shared" si="5"/>
        <v>90892.7668974556</v>
      </c>
      <c r="BO7" s="384">
        <f t="shared" si="6"/>
        <v>62</v>
      </c>
      <c r="BP7" s="144" t="s">
        <v>179</v>
      </c>
      <c r="BQ7" s="384">
        <f t="shared" si="7"/>
        <v>10</v>
      </c>
      <c r="BR7" s="384" t="s">
        <v>179</v>
      </c>
      <c r="BS7" s="384" t="s">
        <v>179</v>
      </c>
      <c r="BT7" s="144" t="s">
        <v>179</v>
      </c>
      <c r="BU7" s="481">
        <v>0</v>
      </c>
      <c r="BV7" s="479">
        <f t="shared" si="11"/>
        <v>2596.9361970701602</v>
      </c>
      <c r="BW7" s="479">
        <v>0</v>
      </c>
      <c r="BX7" s="479">
        <v>0</v>
      </c>
      <c r="BY7" s="479">
        <v>0</v>
      </c>
      <c r="BZ7" s="479">
        <f t="shared" si="12"/>
        <v>2596.9361970701602</v>
      </c>
      <c r="CA7" s="481">
        <v>0</v>
      </c>
      <c r="CB7" s="479">
        <f t="shared" si="13"/>
        <v>25969.361970701601</v>
      </c>
      <c r="CC7" s="479">
        <f t="shared" si="13"/>
        <v>0</v>
      </c>
      <c r="CD7" s="479">
        <f t="shared" si="13"/>
        <v>0</v>
      </c>
      <c r="CE7" s="479">
        <f t="shared" si="13"/>
        <v>0</v>
      </c>
      <c r="CF7" s="480">
        <f t="shared" si="14"/>
        <v>25969.361970701601</v>
      </c>
      <c r="CG7" s="481">
        <v>0</v>
      </c>
      <c r="CH7" s="479">
        <f t="shared" si="15"/>
        <v>0</v>
      </c>
      <c r="CI7" s="479">
        <f t="shared" si="15"/>
        <v>0</v>
      </c>
      <c r="CJ7" s="479">
        <f t="shared" si="8"/>
        <v>0</v>
      </c>
      <c r="CK7" s="479">
        <f t="shared" si="8"/>
        <v>0</v>
      </c>
      <c r="CL7" s="480">
        <f t="shared" si="16"/>
        <v>0</v>
      </c>
      <c r="CM7" s="481">
        <v>0</v>
      </c>
      <c r="CN7" s="480">
        <f>(HLOOKUP($W7,'Inflation Adjustments'!$B$3:$BT$4,2,TRUE))*BD7</f>
        <v>225285.81961039855</v>
      </c>
      <c r="CO7" s="480">
        <f>(HLOOKUP($W7,'Inflation Adjustments'!$M$3:$BT$4,2,TRUE))*BE7</f>
        <v>0</v>
      </c>
      <c r="CP7" s="481">
        <v>0</v>
      </c>
      <c r="CQ7" s="481">
        <v>0</v>
      </c>
      <c r="CR7" s="480">
        <f t="shared" si="17"/>
        <v>225285.81961039855</v>
      </c>
      <c r="CS7" s="482">
        <v>0</v>
      </c>
      <c r="CT7" s="480">
        <f t="shared" si="18"/>
        <v>22528.581961039854</v>
      </c>
      <c r="CU7" s="479">
        <v>0</v>
      </c>
      <c r="CV7" s="482">
        <v>0</v>
      </c>
      <c r="CW7" s="482">
        <v>0</v>
      </c>
      <c r="CX7" s="480">
        <f t="shared" si="19"/>
        <v>22528.581961039854</v>
      </c>
      <c r="CY7" s="282">
        <f t="shared" si="9"/>
        <v>8</v>
      </c>
      <c r="CZ7" s="482">
        <v>0</v>
      </c>
      <c r="DA7" s="479">
        <f t="shared" si="20"/>
        <v>180228.65568831883</v>
      </c>
      <c r="DB7" s="479">
        <v>0</v>
      </c>
      <c r="DC7" s="482">
        <v>0</v>
      </c>
      <c r="DD7" s="482">
        <v>0</v>
      </c>
      <c r="DE7" s="480">
        <f t="shared" si="21"/>
        <v>180228.65568831883</v>
      </c>
      <c r="DF7" s="482">
        <v>0</v>
      </c>
      <c r="DG7" s="479">
        <f t="shared" si="22"/>
        <v>22528.581961039854</v>
      </c>
      <c r="DH7" s="481">
        <f t="shared" si="23"/>
        <v>0</v>
      </c>
      <c r="DI7" s="481">
        <v>0</v>
      </c>
      <c r="DJ7" s="481">
        <v>0</v>
      </c>
      <c r="DK7" s="480">
        <f t="shared" si="24"/>
        <v>22528.581961039854</v>
      </c>
    </row>
    <row r="8" spans="1:115" ht="35" customHeight="1" x14ac:dyDescent="0.3">
      <c r="A8" s="330" t="s">
        <v>1331</v>
      </c>
      <c r="B8" s="451" t="s">
        <v>855</v>
      </c>
      <c r="C8" s="318" t="s">
        <v>1251</v>
      </c>
      <c r="D8" s="318" t="s">
        <v>141</v>
      </c>
      <c r="E8" s="318" t="s">
        <v>843</v>
      </c>
      <c r="F8" s="318" t="s">
        <v>212</v>
      </c>
      <c r="G8" s="318" t="s">
        <v>722</v>
      </c>
      <c r="H8" s="318" t="str">
        <f t="shared" si="10"/>
        <v>S   00.53063</v>
      </c>
      <c r="I8" s="318" t="str">
        <f t="shared" si="10"/>
        <v>E 166.93762</v>
      </c>
      <c r="J8" s="318" t="s">
        <v>853</v>
      </c>
      <c r="K8" s="318" t="s">
        <v>854</v>
      </c>
      <c r="L8" s="318" t="s">
        <v>54</v>
      </c>
      <c r="M8" s="318" t="s">
        <v>11</v>
      </c>
      <c r="N8" s="318" t="s">
        <v>194</v>
      </c>
      <c r="O8" s="333">
        <v>200</v>
      </c>
      <c r="P8" s="318" t="s">
        <v>194</v>
      </c>
      <c r="Q8" s="318">
        <v>8</v>
      </c>
      <c r="R8" s="318">
        <v>10</v>
      </c>
      <c r="S8" s="318">
        <v>1960</v>
      </c>
      <c r="T8" s="318" t="s">
        <v>800</v>
      </c>
      <c r="U8" s="318">
        <f t="shared" si="0"/>
        <v>1960</v>
      </c>
      <c r="V8" s="318" t="str">
        <f t="shared" si="0"/>
        <v>Estimated</v>
      </c>
      <c r="W8" s="318">
        <v>2015</v>
      </c>
      <c r="X8" s="318" t="s">
        <v>1152</v>
      </c>
      <c r="Y8" s="452">
        <f t="shared" si="25"/>
        <v>42157.144867713891</v>
      </c>
      <c r="Z8" s="318" t="s">
        <v>800</v>
      </c>
      <c r="AA8" s="511">
        <f t="shared" si="26"/>
        <v>27493.069021202726</v>
      </c>
      <c r="AB8" s="516">
        <f t="shared" si="27"/>
        <v>14664.075846511165</v>
      </c>
      <c r="AC8" s="511">
        <f t="shared" si="28"/>
        <v>3003.8109281386473</v>
      </c>
      <c r="AD8" s="516">
        <f t="shared" si="29"/>
        <v>11660.264918372517</v>
      </c>
      <c r="AE8" s="511">
        <f>HLOOKUP($C$1,'Inflation Adjustments'!$BI$3:$BT$4,2)*BH8</f>
        <v>183909.495</v>
      </c>
      <c r="AF8" s="511">
        <f>IF(AL8="In Service",AE8*'Maintenace Cost Assumptions'!B$4,0)</f>
        <v>9195.4747499999994</v>
      </c>
      <c r="AG8" s="318">
        <v>4</v>
      </c>
      <c r="AH8" s="318">
        <v>4</v>
      </c>
      <c r="AI8" s="318">
        <v>5</v>
      </c>
      <c r="AJ8" s="357"/>
      <c r="AK8" s="338">
        <f>(AG8*'Condition rating weights'!H$24+AH8*'Condition rating weights'!I$24+AI8*'Condition rating weights'!R$24+AJ8*'Condition rating weights'!S$24)/100</f>
        <v>0.86</v>
      </c>
      <c r="AL8" s="454" t="s">
        <v>1430</v>
      </c>
      <c r="AT8" s="478" t="str">
        <f>'AR-Hierarchy '!$J114</f>
        <v>Light Duty</v>
      </c>
      <c r="AU8" s="478" t="str">
        <f>'AR-Hierarchy '!$J113</f>
        <v>Standard</v>
      </c>
      <c r="AV8" s="329" t="str">
        <f>'AR-Hierarchy '!$J112</f>
        <v>Heavy Duty</v>
      </c>
      <c r="AX8" s="478" t="str">
        <f>'AR-Hierarchy '!$J114</f>
        <v>Light Duty</v>
      </c>
      <c r="AY8" s="478" t="str">
        <f>'AR-Hierarchy '!$J113</f>
        <v>Standard</v>
      </c>
      <c r="AZ8" s="329" t="str">
        <f>'AR-Hierarchy '!$J112</f>
        <v>Heavy Duty</v>
      </c>
      <c r="BB8" s="282" t="str">
        <f t="shared" si="1"/>
        <v>URNR-004</v>
      </c>
      <c r="BC8" s="479">
        <f t="shared" si="2"/>
        <v>88000</v>
      </c>
      <c r="BD8" s="479">
        <f t="shared" si="3"/>
        <v>35200</v>
      </c>
      <c r="BE8" s="479">
        <v>0</v>
      </c>
      <c r="BF8" s="479">
        <v>0</v>
      </c>
      <c r="BG8" s="479">
        <v>0</v>
      </c>
      <c r="BH8" s="480">
        <f t="shared" si="4"/>
        <v>123200</v>
      </c>
      <c r="BI8" s="480">
        <f>(HLOOKUP($U8,'Inflation Adjustments'!$B$3:$BT$4,2,TRUE))*BC8</f>
        <v>8656.4539902338674</v>
      </c>
      <c r="BJ8" s="480">
        <f>(HLOOKUP($U8,'Inflation Adjustments'!$B$3:$BT$4,2,TRUE))*BD8</f>
        <v>3462.581596093547</v>
      </c>
      <c r="BK8" s="480">
        <v>0</v>
      </c>
      <c r="BL8" s="480">
        <v>0</v>
      </c>
      <c r="BM8" s="480">
        <v>0</v>
      </c>
      <c r="BN8" s="480">
        <f t="shared" si="5"/>
        <v>12119.035586327414</v>
      </c>
      <c r="BO8" s="384">
        <f t="shared" si="6"/>
        <v>62</v>
      </c>
      <c r="BP8" s="144" t="s">
        <v>179</v>
      </c>
      <c r="BQ8" s="384">
        <f t="shared" si="7"/>
        <v>10</v>
      </c>
      <c r="BR8" s="384" t="s">
        <v>179</v>
      </c>
      <c r="BS8" s="384" t="s">
        <v>179</v>
      </c>
      <c r="BT8" s="144" t="s">
        <v>179</v>
      </c>
      <c r="BU8" s="481">
        <v>0</v>
      </c>
      <c r="BV8" s="479">
        <f t="shared" si="11"/>
        <v>346.25815960935472</v>
      </c>
      <c r="BW8" s="479">
        <v>0</v>
      </c>
      <c r="BX8" s="479">
        <v>0</v>
      </c>
      <c r="BY8" s="479">
        <v>0</v>
      </c>
      <c r="BZ8" s="479">
        <f t="shared" si="12"/>
        <v>346.25815960935472</v>
      </c>
      <c r="CA8" s="481">
        <v>0</v>
      </c>
      <c r="CB8" s="479">
        <f t="shared" si="13"/>
        <v>3462.581596093547</v>
      </c>
      <c r="CC8" s="479">
        <f t="shared" si="13"/>
        <v>0</v>
      </c>
      <c r="CD8" s="479">
        <f t="shared" si="13"/>
        <v>0</v>
      </c>
      <c r="CE8" s="479">
        <f t="shared" si="13"/>
        <v>0</v>
      </c>
      <c r="CF8" s="480">
        <f t="shared" si="14"/>
        <v>3462.581596093547</v>
      </c>
      <c r="CG8" s="481">
        <v>0</v>
      </c>
      <c r="CH8" s="479">
        <f t="shared" si="15"/>
        <v>0</v>
      </c>
      <c r="CI8" s="479">
        <f t="shared" si="15"/>
        <v>0</v>
      </c>
      <c r="CJ8" s="479">
        <f t="shared" si="8"/>
        <v>0</v>
      </c>
      <c r="CK8" s="479">
        <f t="shared" si="8"/>
        <v>0</v>
      </c>
      <c r="CL8" s="480">
        <f t="shared" si="16"/>
        <v>0</v>
      </c>
      <c r="CM8" s="481">
        <v>0</v>
      </c>
      <c r="CN8" s="480">
        <f>(HLOOKUP($W8,'Inflation Adjustments'!$B$3:$BT$4,2,TRUE))*BD8</f>
        <v>30038.109281386474</v>
      </c>
      <c r="CO8" s="480">
        <f>(HLOOKUP($W8,'Inflation Adjustments'!$M$3:$BT$4,2,TRUE))*BE8</f>
        <v>0</v>
      </c>
      <c r="CP8" s="481">
        <v>0</v>
      </c>
      <c r="CQ8" s="481">
        <v>0</v>
      </c>
      <c r="CR8" s="480">
        <f t="shared" si="17"/>
        <v>30038.109281386474</v>
      </c>
      <c r="CS8" s="482">
        <v>0</v>
      </c>
      <c r="CT8" s="480">
        <f t="shared" si="18"/>
        <v>3003.8109281386473</v>
      </c>
      <c r="CU8" s="479">
        <v>0</v>
      </c>
      <c r="CV8" s="482">
        <v>0</v>
      </c>
      <c r="CW8" s="482">
        <v>0</v>
      </c>
      <c r="CX8" s="480">
        <f t="shared" si="19"/>
        <v>3003.8109281386473</v>
      </c>
      <c r="CY8" s="282">
        <f t="shared" si="9"/>
        <v>8</v>
      </c>
      <c r="CZ8" s="482">
        <v>0</v>
      </c>
      <c r="DA8" s="479">
        <f t="shared" si="20"/>
        <v>24030.487425109179</v>
      </c>
      <c r="DB8" s="479">
        <v>0</v>
      </c>
      <c r="DC8" s="482">
        <v>0</v>
      </c>
      <c r="DD8" s="482">
        <v>0</v>
      </c>
      <c r="DE8" s="480">
        <f t="shared" si="21"/>
        <v>24030.487425109179</v>
      </c>
      <c r="DF8" s="482">
        <v>0</v>
      </c>
      <c r="DG8" s="479">
        <f t="shared" si="22"/>
        <v>3003.8109281386473</v>
      </c>
      <c r="DH8" s="481">
        <f t="shared" si="23"/>
        <v>0</v>
      </c>
      <c r="DI8" s="481">
        <v>0</v>
      </c>
      <c r="DJ8" s="481">
        <v>0</v>
      </c>
      <c r="DK8" s="480">
        <f t="shared" si="24"/>
        <v>3003.8109281386473</v>
      </c>
    </row>
    <row r="9" spans="1:115" ht="35" customHeight="1" x14ac:dyDescent="0.3">
      <c r="A9" s="330" t="s">
        <v>1332</v>
      </c>
      <c r="B9" s="451" t="s">
        <v>862</v>
      </c>
      <c r="C9" s="318" t="s">
        <v>1251</v>
      </c>
      <c r="D9" s="318" t="s">
        <v>141</v>
      </c>
      <c r="E9" s="318" t="s">
        <v>843</v>
      </c>
      <c r="F9" s="318" t="s">
        <v>212</v>
      </c>
      <c r="G9" s="318" t="s">
        <v>722</v>
      </c>
      <c r="H9" s="318" t="str">
        <f t="shared" ref="H9:I11" si="30">J8</f>
        <v>S   00.52681</v>
      </c>
      <c r="I9" s="318" t="str">
        <f t="shared" si="30"/>
        <v>E 166.93803</v>
      </c>
      <c r="J9" s="318" t="s">
        <v>863</v>
      </c>
      <c r="K9" s="318" t="s">
        <v>864</v>
      </c>
      <c r="L9" s="318" t="s">
        <v>54</v>
      </c>
      <c r="M9" s="318" t="s">
        <v>11</v>
      </c>
      <c r="N9" s="318" t="s">
        <v>194</v>
      </c>
      <c r="O9" s="333">
        <v>900</v>
      </c>
      <c r="P9" s="318" t="s">
        <v>194</v>
      </c>
      <c r="Q9" s="318">
        <v>8</v>
      </c>
      <c r="R9" s="318">
        <v>10</v>
      </c>
      <c r="S9" s="318">
        <v>1960</v>
      </c>
      <c r="T9" s="318" t="s">
        <v>800</v>
      </c>
      <c r="U9" s="318">
        <f t="shared" si="0"/>
        <v>1960</v>
      </c>
      <c r="V9" s="318" t="str">
        <f t="shared" si="0"/>
        <v>Estimated</v>
      </c>
      <c r="W9" s="318">
        <v>2015</v>
      </c>
      <c r="X9" s="318" t="s">
        <v>1152</v>
      </c>
      <c r="Y9" s="452">
        <f t="shared" si="25"/>
        <v>189707.15190471249</v>
      </c>
      <c r="Z9" s="318" t="s">
        <v>800</v>
      </c>
      <c r="AA9" s="511">
        <f t="shared" si="26"/>
        <v>123718.81059541227</v>
      </c>
      <c r="AB9" s="516">
        <f t="shared" si="27"/>
        <v>65988.341309300216</v>
      </c>
      <c r="AC9" s="511">
        <f t="shared" si="28"/>
        <v>13517.149176623914</v>
      </c>
      <c r="AD9" s="516">
        <f t="shared" si="29"/>
        <v>52471.192132676304</v>
      </c>
      <c r="AE9" s="511">
        <f>HLOOKUP($C$1,'Inflation Adjustments'!$BI$3:$BT$4,2)*BH9</f>
        <v>827592.72749999992</v>
      </c>
      <c r="AF9" s="511">
        <f>IF(AL9="In Service",AE9*'Maintenace Cost Assumptions'!B$4,0)</f>
        <v>41379.636375000002</v>
      </c>
      <c r="AG9" s="318">
        <v>4</v>
      </c>
      <c r="AH9" s="318">
        <v>4</v>
      </c>
      <c r="AI9" s="318">
        <v>5</v>
      </c>
      <c r="AJ9" s="357"/>
      <c r="AK9" s="338">
        <f>(AG9*'Condition rating weights'!H$24+AH9*'Condition rating weights'!I$24+AI9*'Condition rating weights'!R$24+AJ9*'Condition rating weights'!S$24)/100</f>
        <v>0.86</v>
      </c>
      <c r="AL9" s="454" t="s">
        <v>1430</v>
      </c>
      <c r="AT9" s="282">
        <f>'GRC and TUL Assumptions'!C28</f>
        <v>18</v>
      </c>
      <c r="AU9" s="282">
        <f>'GRC and TUL Assumptions'!D28</f>
        <v>22</v>
      </c>
      <c r="AV9" s="282">
        <f>'GRC and TUL Assumptions'!E28</f>
        <v>26</v>
      </c>
      <c r="AX9" s="478">
        <f>'GRC and TUL Assumptions'!F50</f>
        <v>10</v>
      </c>
      <c r="AY9" s="478">
        <f>'GRC and TUL Assumptions'!G50</f>
        <v>10</v>
      </c>
      <c r="AZ9" s="478">
        <f>'GRC and TUL Assumptions'!H50</f>
        <v>10</v>
      </c>
      <c r="BB9" s="282" t="str">
        <f t="shared" si="1"/>
        <v>URNR-005</v>
      </c>
      <c r="BC9" s="479">
        <f t="shared" si="2"/>
        <v>396000</v>
      </c>
      <c r="BD9" s="479">
        <f t="shared" si="3"/>
        <v>158400</v>
      </c>
      <c r="BE9" s="479">
        <v>0</v>
      </c>
      <c r="BF9" s="479">
        <v>0</v>
      </c>
      <c r="BG9" s="479">
        <v>0</v>
      </c>
      <c r="BH9" s="480">
        <f t="shared" si="4"/>
        <v>554400</v>
      </c>
      <c r="BI9" s="480">
        <f>(HLOOKUP($U9,'Inflation Adjustments'!$B$3:$BT$4,2,TRUE))*BC9</f>
        <v>38954.042956052399</v>
      </c>
      <c r="BJ9" s="480">
        <f>(HLOOKUP($U9,'Inflation Adjustments'!$B$3:$BT$4,2,TRUE))*BD9</f>
        <v>15581.617182420961</v>
      </c>
      <c r="BK9" s="480">
        <v>0</v>
      </c>
      <c r="BL9" s="480">
        <v>0</v>
      </c>
      <c r="BM9" s="480">
        <v>0</v>
      </c>
      <c r="BN9" s="480">
        <f t="shared" si="5"/>
        <v>54535.660138473359</v>
      </c>
      <c r="BO9" s="384">
        <f t="shared" si="6"/>
        <v>62</v>
      </c>
      <c r="BP9" s="144" t="s">
        <v>179</v>
      </c>
      <c r="BQ9" s="384">
        <f t="shared" si="7"/>
        <v>10</v>
      </c>
      <c r="BR9" s="384" t="s">
        <v>179</v>
      </c>
      <c r="BS9" s="384" t="s">
        <v>179</v>
      </c>
      <c r="BT9" s="144" t="s">
        <v>179</v>
      </c>
      <c r="BU9" s="481">
        <v>0</v>
      </c>
      <c r="BV9" s="479">
        <f t="shared" si="11"/>
        <v>1558.1617182420962</v>
      </c>
      <c r="BW9" s="479">
        <v>0</v>
      </c>
      <c r="BX9" s="479">
        <v>0</v>
      </c>
      <c r="BY9" s="479">
        <v>0</v>
      </c>
      <c r="BZ9" s="479">
        <f t="shared" si="12"/>
        <v>1558.1617182420962</v>
      </c>
      <c r="CA9" s="481">
        <v>0</v>
      </c>
      <c r="CB9" s="479">
        <f t="shared" si="13"/>
        <v>15581.617182420961</v>
      </c>
      <c r="CC9" s="479">
        <f t="shared" si="13"/>
        <v>0</v>
      </c>
      <c r="CD9" s="479">
        <f t="shared" si="13"/>
        <v>0</v>
      </c>
      <c r="CE9" s="479">
        <f t="shared" si="13"/>
        <v>0</v>
      </c>
      <c r="CF9" s="480">
        <f t="shared" si="14"/>
        <v>15581.617182420961</v>
      </c>
      <c r="CG9" s="481">
        <v>0</v>
      </c>
      <c r="CH9" s="479">
        <f t="shared" si="15"/>
        <v>0</v>
      </c>
      <c r="CI9" s="479">
        <f t="shared" si="15"/>
        <v>0</v>
      </c>
      <c r="CJ9" s="479">
        <f t="shared" si="8"/>
        <v>0</v>
      </c>
      <c r="CK9" s="479">
        <f t="shared" si="8"/>
        <v>0</v>
      </c>
      <c r="CL9" s="480">
        <f t="shared" si="16"/>
        <v>0</v>
      </c>
      <c r="CM9" s="481">
        <v>0</v>
      </c>
      <c r="CN9" s="480">
        <f>(HLOOKUP($W9,'Inflation Adjustments'!$B$3:$BT$4,2,TRUE))*BD9</f>
        <v>135171.49176623914</v>
      </c>
      <c r="CO9" s="480">
        <f>(HLOOKUP($W9,'Inflation Adjustments'!$M$3:$BT$4,2,TRUE))*BE9</f>
        <v>0</v>
      </c>
      <c r="CP9" s="481">
        <v>0</v>
      </c>
      <c r="CQ9" s="481">
        <v>0</v>
      </c>
      <c r="CR9" s="480">
        <f t="shared" si="17"/>
        <v>135171.49176623914</v>
      </c>
      <c r="CS9" s="482">
        <v>0</v>
      </c>
      <c r="CT9" s="480">
        <f t="shared" si="18"/>
        <v>13517.149176623914</v>
      </c>
      <c r="CU9" s="479">
        <v>0</v>
      </c>
      <c r="CV9" s="482">
        <v>0</v>
      </c>
      <c r="CW9" s="482">
        <v>0</v>
      </c>
      <c r="CX9" s="480">
        <f t="shared" si="19"/>
        <v>13517.149176623914</v>
      </c>
      <c r="CY9" s="282">
        <f t="shared" si="9"/>
        <v>8</v>
      </c>
      <c r="CZ9" s="482">
        <v>0</v>
      </c>
      <c r="DA9" s="479">
        <f t="shared" si="20"/>
        <v>108137.19341299131</v>
      </c>
      <c r="DB9" s="479">
        <v>0</v>
      </c>
      <c r="DC9" s="482">
        <v>0</v>
      </c>
      <c r="DD9" s="482">
        <v>0</v>
      </c>
      <c r="DE9" s="480">
        <f t="shared" si="21"/>
        <v>108137.19341299131</v>
      </c>
      <c r="DF9" s="482">
        <v>0</v>
      </c>
      <c r="DG9" s="479">
        <f t="shared" si="22"/>
        <v>13517.149176623914</v>
      </c>
      <c r="DH9" s="481">
        <f t="shared" si="23"/>
        <v>0</v>
      </c>
      <c r="DI9" s="481">
        <v>0</v>
      </c>
      <c r="DJ9" s="481">
        <v>0</v>
      </c>
      <c r="DK9" s="480">
        <f t="shared" si="24"/>
        <v>13517.149176623914</v>
      </c>
    </row>
    <row r="10" spans="1:115" ht="35" customHeight="1" x14ac:dyDescent="0.3">
      <c r="A10" s="330" t="s">
        <v>1333</v>
      </c>
      <c r="B10" s="451" t="s">
        <v>865</v>
      </c>
      <c r="C10" s="318" t="s">
        <v>1251</v>
      </c>
      <c r="D10" s="318" t="s">
        <v>141</v>
      </c>
      <c r="E10" s="318" t="s">
        <v>843</v>
      </c>
      <c r="F10" s="318" t="s">
        <v>212</v>
      </c>
      <c r="G10" s="318" t="s">
        <v>722</v>
      </c>
      <c r="H10" s="318" t="str">
        <f t="shared" si="30"/>
        <v>S   00.52289</v>
      </c>
      <c r="I10" s="318" t="str">
        <f t="shared" si="30"/>
        <v>E 166.94012</v>
      </c>
      <c r="J10" s="318" t="s">
        <v>857</v>
      </c>
      <c r="K10" s="318" t="s">
        <v>858</v>
      </c>
      <c r="L10" s="318" t="s">
        <v>54</v>
      </c>
      <c r="M10" s="318" t="s">
        <v>11</v>
      </c>
      <c r="N10" s="318" t="s">
        <v>194</v>
      </c>
      <c r="O10" s="333">
        <v>1100</v>
      </c>
      <c r="P10" s="318" t="s">
        <v>194</v>
      </c>
      <c r="Q10" s="318">
        <v>8</v>
      </c>
      <c r="R10" s="318">
        <v>10</v>
      </c>
      <c r="S10" s="318">
        <v>1960</v>
      </c>
      <c r="T10" s="318" t="s">
        <v>800</v>
      </c>
      <c r="U10" s="318">
        <f t="shared" si="0"/>
        <v>1960</v>
      </c>
      <c r="V10" s="318" t="str">
        <f t="shared" si="0"/>
        <v>Estimated</v>
      </c>
      <c r="W10" s="318">
        <v>2015</v>
      </c>
      <c r="X10" s="318" t="s">
        <v>1152</v>
      </c>
      <c r="Y10" s="452">
        <f t="shared" si="25"/>
        <v>231864.2967724264</v>
      </c>
      <c r="Z10" s="318" t="s">
        <v>800</v>
      </c>
      <c r="AA10" s="511">
        <f t="shared" si="26"/>
        <v>151211.87961661501</v>
      </c>
      <c r="AB10" s="516">
        <f t="shared" si="27"/>
        <v>80652.417155811389</v>
      </c>
      <c r="AC10" s="511">
        <f t="shared" si="28"/>
        <v>16520.960104762562</v>
      </c>
      <c r="AD10" s="516">
        <f t="shared" si="29"/>
        <v>64131.457051048827</v>
      </c>
      <c r="AE10" s="511">
        <f>HLOOKUP($C$1,'Inflation Adjustments'!$BI$3:$BT$4,2)*BH10</f>
        <v>1011502.2224999999</v>
      </c>
      <c r="AF10" s="511">
        <f>IF(AL10="In Service",AE10*'Maintenace Cost Assumptions'!B$4,0)</f>
        <v>50575.111124999996</v>
      </c>
      <c r="AG10" s="318">
        <v>4</v>
      </c>
      <c r="AH10" s="318">
        <v>4</v>
      </c>
      <c r="AI10" s="318">
        <v>5</v>
      </c>
      <c r="AJ10" s="357"/>
      <c r="AK10" s="338">
        <f>(AG10*'Condition rating weights'!H$24+AH10*'Condition rating weights'!I$24+AI10*'Condition rating weights'!R$24+AJ10*'Condition rating weights'!S$24)/100</f>
        <v>0.86</v>
      </c>
      <c r="AL10" s="454" t="s">
        <v>1430</v>
      </c>
      <c r="AT10" s="638" t="s">
        <v>812</v>
      </c>
      <c r="AU10" s="638"/>
      <c r="AV10" s="638"/>
      <c r="AW10" s="638"/>
      <c r="AX10" s="638"/>
      <c r="AY10" s="638"/>
      <c r="AZ10" s="638"/>
      <c r="BB10" s="282" t="str">
        <f t="shared" si="1"/>
        <v>URNR-006</v>
      </c>
      <c r="BC10" s="479">
        <f t="shared" si="2"/>
        <v>484000</v>
      </c>
      <c r="BD10" s="479">
        <f t="shared" si="3"/>
        <v>193600</v>
      </c>
      <c r="BE10" s="479">
        <v>0</v>
      </c>
      <c r="BF10" s="479">
        <v>0</v>
      </c>
      <c r="BG10" s="479">
        <v>0</v>
      </c>
      <c r="BH10" s="480">
        <f t="shared" si="4"/>
        <v>677600</v>
      </c>
      <c r="BI10" s="480">
        <f>(HLOOKUP($U10,'Inflation Adjustments'!$B$3:$BT$4,2,TRUE))*BC10</f>
        <v>47610.496946286272</v>
      </c>
      <c r="BJ10" s="480">
        <f>(HLOOKUP($U10,'Inflation Adjustments'!$B$3:$BT$4,2,TRUE))*BD10</f>
        <v>19044.198778514507</v>
      </c>
      <c r="BK10" s="480">
        <v>0</v>
      </c>
      <c r="BL10" s="480">
        <v>0</v>
      </c>
      <c r="BM10" s="480">
        <v>0</v>
      </c>
      <c r="BN10" s="480">
        <f t="shared" si="5"/>
        <v>66654.695724800782</v>
      </c>
      <c r="BO10" s="384">
        <f t="shared" si="6"/>
        <v>62</v>
      </c>
      <c r="BP10" s="144" t="s">
        <v>179</v>
      </c>
      <c r="BQ10" s="384">
        <f t="shared" si="7"/>
        <v>10</v>
      </c>
      <c r="BR10" s="384" t="s">
        <v>179</v>
      </c>
      <c r="BS10" s="384" t="s">
        <v>179</v>
      </c>
      <c r="BT10" s="144" t="s">
        <v>179</v>
      </c>
      <c r="BU10" s="481">
        <v>0</v>
      </c>
      <c r="BV10" s="479">
        <f t="shared" si="11"/>
        <v>1904.4198778514508</v>
      </c>
      <c r="BW10" s="479">
        <v>0</v>
      </c>
      <c r="BX10" s="479">
        <v>0</v>
      </c>
      <c r="BY10" s="479">
        <v>0</v>
      </c>
      <c r="BZ10" s="479">
        <f t="shared" si="12"/>
        <v>1904.4198778514508</v>
      </c>
      <c r="CA10" s="481">
        <v>0</v>
      </c>
      <c r="CB10" s="479">
        <f t="shared" si="13"/>
        <v>19044.198778514507</v>
      </c>
      <c r="CC10" s="479">
        <f t="shared" si="13"/>
        <v>0</v>
      </c>
      <c r="CD10" s="479">
        <f t="shared" si="13"/>
        <v>0</v>
      </c>
      <c r="CE10" s="479">
        <f t="shared" si="13"/>
        <v>0</v>
      </c>
      <c r="CF10" s="480">
        <f t="shared" si="14"/>
        <v>19044.198778514507</v>
      </c>
      <c r="CG10" s="481">
        <v>0</v>
      </c>
      <c r="CH10" s="479">
        <f t="shared" si="15"/>
        <v>0</v>
      </c>
      <c r="CI10" s="479">
        <f t="shared" si="15"/>
        <v>0</v>
      </c>
      <c r="CJ10" s="479">
        <f t="shared" si="8"/>
        <v>0</v>
      </c>
      <c r="CK10" s="479">
        <f t="shared" si="8"/>
        <v>0</v>
      </c>
      <c r="CL10" s="480">
        <f t="shared" si="16"/>
        <v>0</v>
      </c>
      <c r="CM10" s="481">
        <v>0</v>
      </c>
      <c r="CN10" s="480">
        <f>(HLOOKUP($W10,'Inflation Adjustments'!$B$3:$BT$4,2,TRUE))*BD10</f>
        <v>165209.60104762562</v>
      </c>
      <c r="CO10" s="480">
        <f>(HLOOKUP($W10,'Inflation Adjustments'!$M$3:$BT$4,2,TRUE))*BE10</f>
        <v>0</v>
      </c>
      <c r="CP10" s="481">
        <v>0</v>
      </c>
      <c r="CQ10" s="481">
        <v>0</v>
      </c>
      <c r="CR10" s="480">
        <f t="shared" si="17"/>
        <v>165209.60104762562</v>
      </c>
      <c r="CS10" s="482">
        <v>0</v>
      </c>
      <c r="CT10" s="480">
        <f t="shared" si="18"/>
        <v>16520.960104762562</v>
      </c>
      <c r="CU10" s="479">
        <v>0</v>
      </c>
      <c r="CV10" s="482">
        <v>0</v>
      </c>
      <c r="CW10" s="482">
        <v>0</v>
      </c>
      <c r="CX10" s="480">
        <f t="shared" si="19"/>
        <v>16520.960104762562</v>
      </c>
      <c r="CY10" s="282">
        <f t="shared" si="9"/>
        <v>8</v>
      </c>
      <c r="CZ10" s="482">
        <v>0</v>
      </c>
      <c r="DA10" s="479">
        <f t="shared" si="20"/>
        <v>132167.6808381005</v>
      </c>
      <c r="DB10" s="479">
        <v>0</v>
      </c>
      <c r="DC10" s="482">
        <v>0</v>
      </c>
      <c r="DD10" s="482">
        <v>0</v>
      </c>
      <c r="DE10" s="480">
        <f t="shared" si="21"/>
        <v>132167.6808381005</v>
      </c>
      <c r="DF10" s="482">
        <v>0</v>
      </c>
      <c r="DG10" s="479">
        <f t="shared" si="22"/>
        <v>16520.960104762562</v>
      </c>
      <c r="DH10" s="481">
        <f t="shared" si="23"/>
        <v>0</v>
      </c>
      <c r="DI10" s="481">
        <v>0</v>
      </c>
      <c r="DJ10" s="481">
        <v>0</v>
      </c>
      <c r="DK10" s="480">
        <f t="shared" si="24"/>
        <v>16520.960104762562</v>
      </c>
    </row>
    <row r="11" spans="1:115" ht="35" customHeight="1" x14ac:dyDescent="0.3">
      <c r="A11" s="330" t="s">
        <v>1334</v>
      </c>
      <c r="B11" s="451" t="s">
        <v>859</v>
      </c>
      <c r="C11" s="318" t="s">
        <v>1251</v>
      </c>
      <c r="D11" s="318" t="s">
        <v>141</v>
      </c>
      <c r="E11" s="318" t="s">
        <v>843</v>
      </c>
      <c r="F11" s="318" t="s">
        <v>212</v>
      </c>
      <c r="G11" s="318" t="s">
        <v>723</v>
      </c>
      <c r="H11" s="318" t="str">
        <f t="shared" si="30"/>
        <v>S   00.51307</v>
      </c>
      <c r="I11" s="318" t="str">
        <f t="shared" si="30"/>
        <v>E 166.93942</v>
      </c>
      <c r="J11" s="318" t="s">
        <v>860</v>
      </c>
      <c r="K11" s="318" t="s">
        <v>861</v>
      </c>
      <c r="L11" s="318" t="s">
        <v>54</v>
      </c>
      <c r="M11" s="318" t="s">
        <v>11</v>
      </c>
      <c r="N11" s="318" t="s">
        <v>194</v>
      </c>
      <c r="O11" s="333">
        <v>700</v>
      </c>
      <c r="P11" s="318" t="s">
        <v>194</v>
      </c>
      <c r="Q11" s="318">
        <v>8</v>
      </c>
      <c r="R11" s="318">
        <v>10</v>
      </c>
      <c r="S11" s="318">
        <v>1960</v>
      </c>
      <c r="T11" s="318" t="s">
        <v>800</v>
      </c>
      <c r="U11" s="318">
        <f t="shared" si="0"/>
        <v>1960</v>
      </c>
      <c r="V11" s="318" t="str">
        <f t="shared" si="0"/>
        <v>Estimated</v>
      </c>
      <c r="W11" s="318">
        <v>2015</v>
      </c>
      <c r="X11" s="318" t="s">
        <v>1152</v>
      </c>
      <c r="Y11" s="452">
        <f t="shared" si="25"/>
        <v>147550.00703699861</v>
      </c>
      <c r="Z11" s="318" t="s">
        <v>800</v>
      </c>
      <c r="AA11" s="511">
        <f t="shared" si="26"/>
        <v>96225.741574209547</v>
      </c>
      <c r="AB11" s="516">
        <f t="shared" si="27"/>
        <v>51324.265462789059</v>
      </c>
      <c r="AC11" s="511">
        <f t="shared" si="28"/>
        <v>10513.338248485266</v>
      </c>
      <c r="AD11" s="516">
        <f t="shared" si="29"/>
        <v>40810.927214303796</v>
      </c>
      <c r="AE11" s="511">
        <f>HLOOKUP($C$1,'Inflation Adjustments'!$BI$3:$BT$4,2)*BH11</f>
        <v>643683.23249999993</v>
      </c>
      <c r="AF11" s="511">
        <f>IF(AL11="In Service",AE11*'Maintenace Cost Assumptions'!B$4,0)</f>
        <v>32184.161624999997</v>
      </c>
      <c r="AG11" s="318">
        <v>4</v>
      </c>
      <c r="AH11" s="318">
        <v>4</v>
      </c>
      <c r="AI11" s="318">
        <v>5</v>
      </c>
      <c r="AJ11" s="357"/>
      <c r="AK11" s="338">
        <f>(AG11*'Condition rating weights'!H$24+AH11*'Condition rating weights'!I$24+AI11*'Condition rating weights'!R$24+AJ11*'Condition rating weights'!S$24)/100</f>
        <v>0.86</v>
      </c>
      <c r="AL11" s="454" t="s">
        <v>1430</v>
      </c>
      <c r="AT11" s="478" t="str">
        <f>'GRC and TUL Assumptions'!C30</f>
        <v>Inferior</v>
      </c>
      <c r="AU11" s="478" t="str">
        <f>'GRC and TUL Assumptions'!D30</f>
        <v>Standard</v>
      </c>
      <c r="AV11" s="478" t="str">
        <f>'GRC and TUL Assumptions'!E30</f>
        <v>Superior</v>
      </c>
      <c r="AX11" s="478" t="str">
        <f>'GRC and TUL Assumptions'!F30</f>
        <v>Inferior</v>
      </c>
      <c r="AY11" s="478" t="str">
        <f>'GRC and TUL Assumptions'!G30</f>
        <v>Standard</v>
      </c>
      <c r="AZ11" s="478" t="str">
        <f>'GRC and TUL Assumptions'!H30</f>
        <v>Superior</v>
      </c>
      <c r="BB11" s="282" t="str">
        <f t="shared" si="1"/>
        <v>URNR-007</v>
      </c>
      <c r="BC11" s="479">
        <f t="shared" si="2"/>
        <v>308000</v>
      </c>
      <c r="BD11" s="479">
        <f t="shared" si="3"/>
        <v>123200</v>
      </c>
      <c r="BE11" s="479">
        <v>0</v>
      </c>
      <c r="BF11" s="479">
        <v>0</v>
      </c>
      <c r="BG11" s="479">
        <v>0</v>
      </c>
      <c r="BH11" s="480">
        <f t="shared" si="4"/>
        <v>431200</v>
      </c>
      <c r="BI11" s="480">
        <f>(HLOOKUP($U11,'Inflation Adjustments'!$B$3:$BT$4,2,TRUE))*BC11</f>
        <v>30297.588965818533</v>
      </c>
      <c r="BJ11" s="480">
        <f>(HLOOKUP($U11,'Inflation Adjustments'!$B$3:$BT$4,2,TRUE))*BD11</f>
        <v>12119.035586327414</v>
      </c>
      <c r="BK11" s="480">
        <v>0</v>
      </c>
      <c r="BL11" s="480">
        <v>0</v>
      </c>
      <c r="BM11" s="480">
        <v>0</v>
      </c>
      <c r="BN11" s="480">
        <f t="shared" si="5"/>
        <v>42416.62455214595</v>
      </c>
      <c r="BO11" s="384">
        <f t="shared" si="6"/>
        <v>62</v>
      </c>
      <c r="BP11" s="144" t="s">
        <v>179</v>
      </c>
      <c r="BQ11" s="384">
        <f t="shared" si="7"/>
        <v>10</v>
      </c>
      <c r="BR11" s="384" t="s">
        <v>179</v>
      </c>
      <c r="BS11" s="384" t="s">
        <v>179</v>
      </c>
      <c r="BT11" s="144" t="s">
        <v>179</v>
      </c>
      <c r="BU11" s="481">
        <v>0</v>
      </c>
      <c r="BV11" s="479">
        <f t="shared" si="11"/>
        <v>1211.9035586327416</v>
      </c>
      <c r="BW11" s="479">
        <v>0</v>
      </c>
      <c r="BX11" s="479">
        <v>0</v>
      </c>
      <c r="BY11" s="479">
        <v>0</v>
      </c>
      <c r="BZ11" s="479">
        <f t="shared" si="12"/>
        <v>1211.9035586327416</v>
      </c>
      <c r="CA11" s="481">
        <v>0</v>
      </c>
      <c r="CB11" s="479">
        <f t="shared" si="13"/>
        <v>12119.035586327414</v>
      </c>
      <c r="CC11" s="479">
        <f t="shared" si="13"/>
        <v>0</v>
      </c>
      <c r="CD11" s="479">
        <f t="shared" si="13"/>
        <v>0</v>
      </c>
      <c r="CE11" s="479">
        <f t="shared" si="13"/>
        <v>0</v>
      </c>
      <c r="CF11" s="480">
        <f t="shared" si="14"/>
        <v>12119.035586327414</v>
      </c>
      <c r="CG11" s="481">
        <v>0</v>
      </c>
      <c r="CH11" s="479">
        <f t="shared" si="15"/>
        <v>0</v>
      </c>
      <c r="CI11" s="479">
        <f t="shared" si="15"/>
        <v>0</v>
      </c>
      <c r="CJ11" s="479">
        <f t="shared" si="8"/>
        <v>0</v>
      </c>
      <c r="CK11" s="479">
        <f t="shared" si="8"/>
        <v>0</v>
      </c>
      <c r="CL11" s="480">
        <f t="shared" si="16"/>
        <v>0</v>
      </c>
      <c r="CM11" s="481">
        <v>0</v>
      </c>
      <c r="CN11" s="480">
        <f>(HLOOKUP($W11,'Inflation Adjustments'!$B$3:$BT$4,2,TRUE))*BD11</f>
        <v>105133.38248485266</v>
      </c>
      <c r="CO11" s="480">
        <f>(HLOOKUP($W11,'Inflation Adjustments'!$M$3:$BT$4,2,TRUE))*BE11</f>
        <v>0</v>
      </c>
      <c r="CP11" s="481">
        <v>0</v>
      </c>
      <c r="CQ11" s="481">
        <v>0</v>
      </c>
      <c r="CR11" s="480">
        <f t="shared" si="17"/>
        <v>105133.38248485266</v>
      </c>
      <c r="CS11" s="482">
        <v>0</v>
      </c>
      <c r="CT11" s="480">
        <f t="shared" si="18"/>
        <v>10513.338248485266</v>
      </c>
      <c r="CU11" s="479">
        <v>0</v>
      </c>
      <c r="CV11" s="482">
        <v>0</v>
      </c>
      <c r="CW11" s="482">
        <v>0</v>
      </c>
      <c r="CX11" s="480">
        <f t="shared" si="19"/>
        <v>10513.338248485266</v>
      </c>
      <c r="CY11" s="282">
        <f t="shared" si="9"/>
        <v>8</v>
      </c>
      <c r="CZ11" s="482">
        <v>0</v>
      </c>
      <c r="DA11" s="479">
        <f t="shared" si="20"/>
        <v>84106.705987882131</v>
      </c>
      <c r="DB11" s="479">
        <v>0</v>
      </c>
      <c r="DC11" s="482">
        <v>0</v>
      </c>
      <c r="DD11" s="482">
        <v>0</v>
      </c>
      <c r="DE11" s="480">
        <f t="shared" si="21"/>
        <v>84106.705987882131</v>
      </c>
      <c r="DF11" s="482">
        <v>0</v>
      </c>
      <c r="DG11" s="479">
        <f t="shared" si="22"/>
        <v>10513.338248485266</v>
      </c>
      <c r="DH11" s="481">
        <f t="shared" si="23"/>
        <v>0</v>
      </c>
      <c r="DI11" s="481">
        <v>0</v>
      </c>
      <c r="DJ11" s="481">
        <v>0</v>
      </c>
      <c r="DK11" s="480">
        <f t="shared" si="24"/>
        <v>10513.338248485266</v>
      </c>
    </row>
    <row r="12" spans="1:115" ht="35" customHeight="1" x14ac:dyDescent="0.3">
      <c r="A12" s="330" t="s">
        <v>1335</v>
      </c>
      <c r="B12" s="451" t="s">
        <v>869</v>
      </c>
      <c r="C12" s="318" t="s">
        <v>1251</v>
      </c>
      <c r="D12" s="318" t="s">
        <v>141</v>
      </c>
      <c r="E12" s="318" t="s">
        <v>843</v>
      </c>
      <c r="F12" s="318" t="s">
        <v>212</v>
      </c>
      <c r="G12" s="318" t="s">
        <v>723</v>
      </c>
      <c r="H12" s="318" t="s">
        <v>870</v>
      </c>
      <c r="I12" s="318" t="s">
        <v>868</v>
      </c>
      <c r="J12" s="318" t="s">
        <v>871</v>
      </c>
      <c r="K12" s="318" t="s">
        <v>872</v>
      </c>
      <c r="L12" s="318" t="s">
        <v>184</v>
      </c>
      <c r="M12" s="318" t="s">
        <v>11</v>
      </c>
      <c r="N12" s="318" t="s">
        <v>194</v>
      </c>
      <c r="O12" s="333">
        <v>2000</v>
      </c>
      <c r="P12" s="318" t="s">
        <v>194</v>
      </c>
      <c r="Q12" s="318">
        <v>6</v>
      </c>
      <c r="R12" s="318">
        <v>10</v>
      </c>
      <c r="S12" s="318">
        <v>1960</v>
      </c>
      <c r="T12" s="318" t="s">
        <v>800</v>
      </c>
      <c r="U12" s="318">
        <f t="shared" si="0"/>
        <v>1960</v>
      </c>
      <c r="V12" s="318" t="str">
        <f t="shared" si="0"/>
        <v>Estimated</v>
      </c>
      <c r="W12" s="318">
        <v>2015</v>
      </c>
      <c r="X12" s="318" t="s">
        <v>1152</v>
      </c>
      <c r="Y12" s="452">
        <f t="shared" si="25"/>
        <v>381101.99143460812</v>
      </c>
      <c r="Z12" s="318" t="s">
        <v>800</v>
      </c>
      <c r="AA12" s="511">
        <f t="shared" si="26"/>
        <v>206198.01765902044</v>
      </c>
      <c r="AB12" s="516">
        <f t="shared" si="27"/>
        <v>174903.97377558768</v>
      </c>
      <c r="AC12" s="511">
        <f t="shared" si="28"/>
        <v>22528.581961039854</v>
      </c>
      <c r="AD12" s="516">
        <f t="shared" si="29"/>
        <v>152375.39181454782</v>
      </c>
      <c r="AE12" s="511">
        <f>HLOOKUP($C$1,'Inflation Adjustments'!$BI$3:$BT$4,2)*BH12</f>
        <v>2364550.65</v>
      </c>
      <c r="AF12" s="511">
        <f>IF(AL12="In Service",AE12*'Maintenace Cost Assumptions'!B$4,0)</f>
        <v>118227.5325</v>
      </c>
      <c r="AG12" s="318">
        <v>4</v>
      </c>
      <c r="AH12" s="318">
        <v>4</v>
      </c>
      <c r="AI12" s="318">
        <v>5</v>
      </c>
      <c r="AJ12" s="357"/>
      <c r="AK12" s="338">
        <f>(AG12*'Condition rating weights'!H$24+AH12*'Condition rating weights'!I$24+AI12*'Condition rating weights'!R$24+AJ12*'Condition rating weights'!S$24)/100</f>
        <v>0.86</v>
      </c>
      <c r="AL12" s="454" t="s">
        <v>1430</v>
      </c>
      <c r="AT12" s="282">
        <v>0</v>
      </c>
      <c r="AU12" s="282">
        <v>0</v>
      </c>
      <c r="AV12" s="282">
        <v>0</v>
      </c>
      <c r="AX12" s="282" t="s">
        <v>179</v>
      </c>
      <c r="AY12" s="478" t="s">
        <v>179</v>
      </c>
      <c r="AZ12" s="478" t="s">
        <v>179</v>
      </c>
      <c r="BB12" s="282" t="str">
        <f t="shared" si="1"/>
        <v>URNR-008</v>
      </c>
      <c r="BC12" s="479">
        <f t="shared" si="2"/>
        <v>1320000</v>
      </c>
      <c r="BD12" s="479">
        <f t="shared" si="3"/>
        <v>264000</v>
      </c>
      <c r="BE12" s="479">
        <v>0</v>
      </c>
      <c r="BF12" s="479">
        <v>0</v>
      </c>
      <c r="BG12" s="479">
        <v>0</v>
      </c>
      <c r="BH12" s="480">
        <f t="shared" si="4"/>
        <v>1584000</v>
      </c>
      <c r="BI12" s="480">
        <f>(HLOOKUP($U12,'Inflation Adjustments'!$B$3:$BT$4,2,TRUE))*BC12</f>
        <v>129846.80985350801</v>
      </c>
      <c r="BJ12" s="480">
        <f>(HLOOKUP($U12,'Inflation Adjustments'!$B$3:$BT$4,2,TRUE))*BD12</f>
        <v>25969.361970701601</v>
      </c>
      <c r="BK12" s="480">
        <v>0</v>
      </c>
      <c r="BL12" s="480">
        <v>0</v>
      </c>
      <c r="BM12" s="480">
        <v>0</v>
      </c>
      <c r="BN12" s="480">
        <f t="shared" si="5"/>
        <v>155816.1718242096</v>
      </c>
      <c r="BO12" s="384">
        <f t="shared" si="6"/>
        <v>62</v>
      </c>
      <c r="BP12" s="144" t="s">
        <v>179</v>
      </c>
      <c r="BQ12" s="384">
        <f t="shared" si="7"/>
        <v>10</v>
      </c>
      <c r="BR12" s="384" t="s">
        <v>179</v>
      </c>
      <c r="BS12" s="384" t="s">
        <v>179</v>
      </c>
      <c r="BT12" s="144" t="s">
        <v>179</v>
      </c>
      <c r="BU12" s="481">
        <v>0</v>
      </c>
      <c r="BV12" s="479">
        <f t="shared" si="11"/>
        <v>2596.9361970701602</v>
      </c>
      <c r="BW12" s="479">
        <v>0</v>
      </c>
      <c r="BX12" s="479">
        <v>0</v>
      </c>
      <c r="BY12" s="479">
        <v>0</v>
      </c>
      <c r="BZ12" s="479">
        <f t="shared" si="12"/>
        <v>2596.9361970701602</v>
      </c>
      <c r="CA12" s="481">
        <v>0</v>
      </c>
      <c r="CB12" s="479">
        <f t="shared" si="13"/>
        <v>25969.361970701601</v>
      </c>
      <c r="CC12" s="479">
        <f t="shared" si="13"/>
        <v>0</v>
      </c>
      <c r="CD12" s="479">
        <f t="shared" si="13"/>
        <v>0</v>
      </c>
      <c r="CE12" s="479">
        <f t="shared" si="13"/>
        <v>0</v>
      </c>
      <c r="CF12" s="480">
        <f t="shared" si="14"/>
        <v>25969.361970701601</v>
      </c>
      <c r="CG12" s="481">
        <v>0</v>
      </c>
      <c r="CH12" s="479">
        <f t="shared" si="15"/>
        <v>0</v>
      </c>
      <c r="CI12" s="479">
        <f t="shared" si="15"/>
        <v>0</v>
      </c>
      <c r="CJ12" s="479">
        <f t="shared" si="8"/>
        <v>0</v>
      </c>
      <c r="CK12" s="479">
        <f t="shared" si="8"/>
        <v>0</v>
      </c>
      <c r="CL12" s="480">
        <f t="shared" si="16"/>
        <v>0</v>
      </c>
      <c r="CM12" s="481">
        <v>0</v>
      </c>
      <c r="CN12" s="480">
        <f>(HLOOKUP($W12,'Inflation Adjustments'!$B$3:$BT$4,2,TRUE))*BD12</f>
        <v>225285.81961039855</v>
      </c>
      <c r="CO12" s="480">
        <f>(HLOOKUP($W12,'Inflation Adjustments'!$M$3:$BT$4,2,TRUE))*BE12</f>
        <v>0</v>
      </c>
      <c r="CP12" s="481">
        <v>0</v>
      </c>
      <c r="CQ12" s="481">
        <v>0</v>
      </c>
      <c r="CR12" s="480">
        <f t="shared" si="17"/>
        <v>225285.81961039855</v>
      </c>
      <c r="CS12" s="482">
        <v>0</v>
      </c>
      <c r="CT12" s="480">
        <f t="shared" si="18"/>
        <v>22528.581961039854</v>
      </c>
      <c r="CU12" s="479">
        <v>0</v>
      </c>
      <c r="CV12" s="482">
        <v>0</v>
      </c>
      <c r="CW12" s="482">
        <v>0</v>
      </c>
      <c r="CX12" s="480">
        <f t="shared" si="19"/>
        <v>22528.581961039854</v>
      </c>
      <c r="CY12" s="282">
        <f t="shared" si="9"/>
        <v>8</v>
      </c>
      <c r="CZ12" s="482">
        <v>0</v>
      </c>
      <c r="DA12" s="479">
        <f t="shared" si="20"/>
        <v>180228.65568831883</v>
      </c>
      <c r="DB12" s="479">
        <v>0</v>
      </c>
      <c r="DC12" s="482">
        <v>0</v>
      </c>
      <c r="DD12" s="482">
        <v>0</v>
      </c>
      <c r="DE12" s="480">
        <f t="shared" si="21"/>
        <v>180228.65568831883</v>
      </c>
      <c r="DF12" s="482">
        <v>0</v>
      </c>
      <c r="DG12" s="479">
        <f t="shared" si="22"/>
        <v>22528.581961039854</v>
      </c>
      <c r="DH12" s="481">
        <f t="shared" si="23"/>
        <v>0</v>
      </c>
      <c r="DI12" s="481">
        <v>0</v>
      </c>
      <c r="DJ12" s="481">
        <v>0</v>
      </c>
      <c r="DK12" s="480">
        <f t="shared" si="24"/>
        <v>22528.581961039854</v>
      </c>
    </row>
    <row r="13" spans="1:115" ht="51" customHeight="1" x14ac:dyDescent="0.3">
      <c r="A13" s="330"/>
      <c r="B13" s="318"/>
      <c r="C13" s="318"/>
      <c r="D13" s="318"/>
      <c r="E13" s="318"/>
      <c r="F13" s="318"/>
      <c r="G13" s="318"/>
      <c r="H13" s="318"/>
      <c r="I13" s="318"/>
      <c r="J13" s="318"/>
      <c r="K13" s="318"/>
      <c r="L13" s="318"/>
      <c r="M13" s="318"/>
      <c r="N13" s="318"/>
      <c r="O13" s="333"/>
      <c r="P13" s="318"/>
      <c r="Q13" s="318"/>
      <c r="R13" s="318"/>
      <c r="S13" s="318"/>
      <c r="T13" s="318"/>
      <c r="U13" s="318"/>
      <c r="V13" s="318"/>
      <c r="W13" s="318"/>
      <c r="X13" s="318"/>
      <c r="Y13" s="452"/>
      <c r="Z13" s="318"/>
      <c r="AA13" s="511" t="e">
        <f t="shared" ref="AA13:AA16" si="31">CF13+DE13</f>
        <v>#N/A</v>
      </c>
      <c r="AB13" s="516" t="e">
        <f t="shared" ref="AB13:AB16" si="32">Y13-AA13</f>
        <v>#N/A</v>
      </c>
      <c r="AC13" s="511" t="e">
        <f t="shared" ref="AC13:AC16" si="33">CL13+DK13</f>
        <v>#N/A</v>
      </c>
      <c r="AD13" s="516" t="e">
        <f t="shared" ref="AD13:AD16" si="34">AB13-AC13</f>
        <v>#N/A</v>
      </c>
      <c r="AE13" s="511" t="e">
        <f>HLOOKUP($C$1,'Inflation Adjustments'!$BI$3:$BT$4,2)*BH13</f>
        <v>#N/A</v>
      </c>
      <c r="AF13" s="511">
        <f>IF(AL13="In Service",AE13*'Maintenace Cost Assumptions'!B$4,0)</f>
        <v>0</v>
      </c>
      <c r="AG13" s="318"/>
      <c r="AH13" s="318"/>
      <c r="AI13" s="357"/>
      <c r="AJ13" s="357"/>
      <c r="AK13" s="338">
        <f>(AG13*'Condition rating weights'!H$24+AH13*'Condition rating weights'!I$24+AI13*'Condition rating weights'!R$24+AJ13*'Condition rating weights'!S$24)/100</f>
        <v>0</v>
      </c>
      <c r="AL13" s="454"/>
      <c r="AY13" s="478"/>
      <c r="AZ13" s="478"/>
      <c r="BB13" s="282">
        <f t="shared" ref="BB13:BB16" si="35">A13</f>
        <v>0</v>
      </c>
      <c r="BC13" s="479" t="e">
        <f t="shared" ref="BC13:BC16" si="36">(HLOOKUP(L13,$AT$5:$AV$6,2,TRUE))*O13*Q13</f>
        <v>#N/A</v>
      </c>
      <c r="BD13" s="479" t="e">
        <f t="shared" ref="BD13:BD16" si="37">(HLOOKUP(M13,$AT$8:$AV$9,2,TRUE))*O13*Q13</f>
        <v>#N/A</v>
      </c>
      <c r="BE13" s="479">
        <v>0</v>
      </c>
      <c r="BF13" s="479">
        <v>0</v>
      </c>
      <c r="BG13" s="479">
        <v>0</v>
      </c>
      <c r="BH13" s="480" t="e">
        <f t="shared" ref="BH13:BH16" si="38">SUM(BC13:BG13)</f>
        <v>#N/A</v>
      </c>
      <c r="BI13" s="480" t="e">
        <f>(HLOOKUP($U13,'Inflation Adjustments'!$B$3:$BT$4,2,TRUE))*BC13</f>
        <v>#N/A</v>
      </c>
      <c r="BJ13" s="480" t="e">
        <f>(HLOOKUP($U13,'Inflation Adjustments'!$B$3:$BT$4,2,TRUE))*BD13</f>
        <v>#N/A</v>
      </c>
      <c r="BK13" s="480">
        <v>0</v>
      </c>
      <c r="BL13" s="480">
        <v>0</v>
      </c>
      <c r="BM13" s="480">
        <v>0</v>
      </c>
      <c r="BN13" s="480" t="e">
        <f t="shared" ref="BN13:BN16" si="39">SUM(BI13:BM13)</f>
        <v>#N/A</v>
      </c>
      <c r="BO13" s="384">
        <f t="shared" ref="BO13:BO16" si="40">$C$1-U13-1</f>
        <v>2022</v>
      </c>
      <c r="BP13" s="144" t="s">
        <v>179</v>
      </c>
      <c r="BQ13" s="384" t="e">
        <f t="shared" ref="BQ13:BQ16" si="41">HLOOKUP(M13,$AX$8:$AZ$9,2,TRUE)</f>
        <v>#N/A</v>
      </c>
      <c r="BR13" s="384" t="s">
        <v>179</v>
      </c>
      <c r="BS13" s="384" t="s">
        <v>179</v>
      </c>
      <c r="BT13" s="144" t="s">
        <v>179</v>
      </c>
      <c r="BU13" s="481">
        <v>0</v>
      </c>
      <c r="BV13" s="479" t="e">
        <f t="shared" ref="BV13:BV16" si="42">1/BQ13*BJ13</f>
        <v>#N/A</v>
      </c>
      <c r="BW13" s="479">
        <v>0</v>
      </c>
      <c r="BX13" s="479">
        <v>0</v>
      </c>
      <c r="BY13" s="479">
        <v>0</v>
      </c>
      <c r="BZ13" s="479" t="e">
        <f t="shared" ref="BZ13:BZ16" si="43">SUM(BU13:BY13)</f>
        <v>#N/A</v>
      </c>
      <c r="CA13" s="481">
        <v>0</v>
      </c>
      <c r="CB13" s="479" t="e">
        <f t="shared" ref="CB13:CB16" si="44">IF(BV13*$BO13&gt;BJ13,BJ13,BV13*$BO13)</f>
        <v>#N/A</v>
      </c>
      <c r="CC13" s="479">
        <f t="shared" ref="CC13:CC16" si="45">IF(BW13*$BO13&gt;BK13,BK13,BW13*$BO13)</f>
        <v>0</v>
      </c>
      <c r="CD13" s="479">
        <f t="shared" ref="CD13:CD16" si="46">IF(BX13*$BO13&gt;BL13,BL13,BX13*$BO13)</f>
        <v>0</v>
      </c>
      <c r="CE13" s="479">
        <f t="shared" ref="CE13:CE16" si="47">IF(BY13*$BO13&gt;BM13,BM13,BY13*$BO13)</f>
        <v>0</v>
      </c>
      <c r="CF13" s="480" t="e">
        <f t="shared" ref="CF13:CF16" si="48">SUM(CA13:CE13)</f>
        <v>#N/A</v>
      </c>
      <c r="CG13" s="481">
        <v>0</v>
      </c>
      <c r="CH13" s="479" t="e">
        <f t="shared" ref="CH13:CH16" si="49">IF(BV13&lt;(BJ13-CB13),BV13,(BJ13-CB13))</f>
        <v>#N/A</v>
      </c>
      <c r="CI13" s="479">
        <f t="shared" ref="CI13:CI16" si="50">IF(BW13&lt;(BK13-CC13),BW13,(BK13-CC13))</f>
        <v>0</v>
      </c>
      <c r="CJ13" s="479">
        <f t="shared" ref="CJ13:CJ16" si="51">IF(BX13&lt;(BL13-CD13),BX13,(BL13-CD13))</f>
        <v>0</v>
      </c>
      <c r="CK13" s="479">
        <f t="shared" ref="CK13:CK16" si="52">IF(BY13&lt;(BM13-CE13),BY13,(BM13-CE13))</f>
        <v>0</v>
      </c>
      <c r="CL13" s="480" t="e">
        <f t="shared" ref="CL13:CL16" si="53">SUM(CG13:CK13)</f>
        <v>#N/A</v>
      </c>
      <c r="CM13" s="481">
        <v>0</v>
      </c>
      <c r="CN13" s="480" t="e">
        <f>(HLOOKUP($W13,'Inflation Adjustments'!$B$3:$BT$4,2,TRUE))*BD13</f>
        <v>#N/A</v>
      </c>
      <c r="CO13" s="480" t="e">
        <f>(HLOOKUP($W13,'Inflation Adjustments'!$M$3:$BT$4,2,TRUE))*BE13</f>
        <v>#N/A</v>
      </c>
      <c r="CP13" s="481">
        <v>0</v>
      </c>
      <c r="CQ13" s="481">
        <v>0</v>
      </c>
      <c r="CR13" s="480" t="e">
        <f t="shared" ref="CR13:CR16" si="54">SUM(CM13:CQ13)</f>
        <v>#N/A</v>
      </c>
      <c r="CS13" s="482">
        <v>0</v>
      </c>
      <c r="CT13" s="480" t="e">
        <f t="shared" ref="CT13:CT16" si="55">CR13/BQ13</f>
        <v>#N/A</v>
      </c>
      <c r="CU13" s="479">
        <v>0</v>
      </c>
      <c r="CV13" s="482">
        <v>0</v>
      </c>
      <c r="CW13" s="482">
        <v>0</v>
      </c>
      <c r="CX13" s="480" t="e">
        <f t="shared" ref="CX13:CX16" si="56">SUM(CS13:CW13)</f>
        <v>#N/A</v>
      </c>
      <c r="CY13" s="282">
        <f t="shared" ref="CY13:CY16" si="57">$C$1-W13</f>
        <v>2023</v>
      </c>
      <c r="CZ13" s="482">
        <v>0</v>
      </c>
      <c r="DA13" s="479" t="e">
        <f t="shared" ref="DA13:DA16" si="58">IF(CT13*$CY13&gt;CN13,CN13,CT13*$CY13)</f>
        <v>#N/A</v>
      </c>
      <c r="DB13" s="479">
        <v>0</v>
      </c>
      <c r="DC13" s="482">
        <v>0</v>
      </c>
      <c r="DD13" s="482">
        <v>0</v>
      </c>
      <c r="DE13" s="480" t="e">
        <f t="shared" ref="DE13:DE16" si="59">SUM(CZ13:DD13)</f>
        <v>#N/A</v>
      </c>
      <c r="DF13" s="482">
        <v>0</v>
      </c>
      <c r="DG13" s="479" t="e">
        <f t="shared" ref="DG13:DG16" si="60">IF(CT13&lt;(CN13-DA13),CT13,(CN13-DA13))</f>
        <v>#N/A</v>
      </c>
      <c r="DH13" s="481" t="e">
        <f t="shared" ref="DH13:DH16" si="61">IF(CU13&lt;(CR13-DE13),CU13,(CR13-DE13))</f>
        <v>#N/A</v>
      </c>
      <c r="DI13" s="481">
        <v>0</v>
      </c>
      <c r="DJ13" s="481">
        <v>0</v>
      </c>
      <c r="DK13" s="480" t="e">
        <f t="shared" ref="DK13:DK16" si="62">SUM(DF13:DJ13)</f>
        <v>#N/A</v>
      </c>
    </row>
    <row r="14" spans="1:115" ht="51" customHeight="1" x14ac:dyDescent="0.3">
      <c r="A14" s="330"/>
      <c r="B14" s="318"/>
      <c r="C14" s="318"/>
      <c r="D14" s="318"/>
      <c r="E14" s="318"/>
      <c r="F14" s="318"/>
      <c r="G14" s="318"/>
      <c r="H14" s="318"/>
      <c r="I14" s="318"/>
      <c r="J14" s="318"/>
      <c r="K14" s="318"/>
      <c r="L14" s="318"/>
      <c r="M14" s="318"/>
      <c r="N14" s="318"/>
      <c r="O14" s="333"/>
      <c r="P14" s="318"/>
      <c r="Q14" s="318"/>
      <c r="R14" s="318"/>
      <c r="S14" s="318"/>
      <c r="T14" s="318"/>
      <c r="U14" s="318"/>
      <c r="V14" s="318"/>
      <c r="W14" s="318"/>
      <c r="X14" s="318"/>
      <c r="Y14" s="452"/>
      <c r="Z14" s="318"/>
      <c r="AA14" s="511" t="e">
        <f t="shared" si="31"/>
        <v>#N/A</v>
      </c>
      <c r="AB14" s="516" t="e">
        <f t="shared" si="32"/>
        <v>#N/A</v>
      </c>
      <c r="AC14" s="511" t="e">
        <f t="shared" si="33"/>
        <v>#N/A</v>
      </c>
      <c r="AD14" s="516" t="e">
        <f t="shared" si="34"/>
        <v>#N/A</v>
      </c>
      <c r="AE14" s="511" t="e">
        <f>HLOOKUP($C$1,'Inflation Adjustments'!$BI$3:$BT$4,2)*BH14</f>
        <v>#N/A</v>
      </c>
      <c r="AF14" s="511">
        <f>IF(AL14="In Service",AE14*'Maintenace Cost Assumptions'!B$4,0)</f>
        <v>0</v>
      </c>
      <c r="AG14" s="318"/>
      <c r="AH14" s="318"/>
      <c r="AI14" s="357"/>
      <c r="AJ14" s="357"/>
      <c r="AK14" s="338">
        <f>(AG14*'Condition rating weights'!H$24+AH14*'Condition rating weights'!I$24+AI14*'Condition rating weights'!R$24+AJ14*'Condition rating weights'!S$24)/100</f>
        <v>0</v>
      </c>
      <c r="AL14" s="454"/>
      <c r="AY14" s="478"/>
      <c r="AZ14" s="478"/>
      <c r="BB14" s="282">
        <f t="shared" si="35"/>
        <v>0</v>
      </c>
      <c r="BC14" s="479" t="e">
        <f t="shared" si="36"/>
        <v>#N/A</v>
      </c>
      <c r="BD14" s="479" t="e">
        <f t="shared" si="37"/>
        <v>#N/A</v>
      </c>
      <c r="BE14" s="479">
        <v>0</v>
      </c>
      <c r="BF14" s="479">
        <v>0</v>
      </c>
      <c r="BG14" s="479">
        <v>0</v>
      </c>
      <c r="BH14" s="480" t="e">
        <f t="shared" si="38"/>
        <v>#N/A</v>
      </c>
      <c r="BI14" s="480" t="e">
        <f>(HLOOKUP($U14,'Inflation Adjustments'!$B$3:$BT$4,2,TRUE))*BC14</f>
        <v>#N/A</v>
      </c>
      <c r="BJ14" s="480" t="e">
        <f>(HLOOKUP($U14,'Inflation Adjustments'!$B$3:$BT$4,2,TRUE))*BD14</f>
        <v>#N/A</v>
      </c>
      <c r="BK14" s="480">
        <v>0</v>
      </c>
      <c r="BL14" s="480">
        <v>0</v>
      </c>
      <c r="BM14" s="480">
        <v>0</v>
      </c>
      <c r="BN14" s="480" t="e">
        <f t="shared" si="39"/>
        <v>#N/A</v>
      </c>
      <c r="BO14" s="384">
        <f t="shared" si="40"/>
        <v>2022</v>
      </c>
      <c r="BP14" s="144" t="s">
        <v>179</v>
      </c>
      <c r="BQ14" s="384" t="e">
        <f t="shared" si="41"/>
        <v>#N/A</v>
      </c>
      <c r="BR14" s="384" t="s">
        <v>179</v>
      </c>
      <c r="BS14" s="384" t="s">
        <v>179</v>
      </c>
      <c r="BT14" s="144" t="s">
        <v>179</v>
      </c>
      <c r="BU14" s="481">
        <v>0</v>
      </c>
      <c r="BV14" s="479" t="e">
        <f t="shared" si="42"/>
        <v>#N/A</v>
      </c>
      <c r="BW14" s="479">
        <v>0</v>
      </c>
      <c r="BX14" s="479">
        <v>0</v>
      </c>
      <c r="BY14" s="479">
        <v>0</v>
      </c>
      <c r="BZ14" s="479" t="e">
        <f t="shared" si="43"/>
        <v>#N/A</v>
      </c>
      <c r="CA14" s="481">
        <v>0</v>
      </c>
      <c r="CB14" s="479" t="e">
        <f t="shared" si="44"/>
        <v>#N/A</v>
      </c>
      <c r="CC14" s="479">
        <f t="shared" si="45"/>
        <v>0</v>
      </c>
      <c r="CD14" s="479">
        <f t="shared" si="46"/>
        <v>0</v>
      </c>
      <c r="CE14" s="479">
        <f t="shared" si="47"/>
        <v>0</v>
      </c>
      <c r="CF14" s="480" t="e">
        <f t="shared" si="48"/>
        <v>#N/A</v>
      </c>
      <c r="CG14" s="481">
        <v>0</v>
      </c>
      <c r="CH14" s="479" t="e">
        <f t="shared" si="49"/>
        <v>#N/A</v>
      </c>
      <c r="CI14" s="479">
        <f t="shared" si="50"/>
        <v>0</v>
      </c>
      <c r="CJ14" s="479">
        <f t="shared" si="51"/>
        <v>0</v>
      </c>
      <c r="CK14" s="479">
        <f t="shared" si="52"/>
        <v>0</v>
      </c>
      <c r="CL14" s="480" t="e">
        <f t="shared" si="53"/>
        <v>#N/A</v>
      </c>
      <c r="CM14" s="481">
        <v>0</v>
      </c>
      <c r="CN14" s="480" t="e">
        <f>(HLOOKUP($W14,'Inflation Adjustments'!$B$3:$BT$4,2,TRUE))*BD14</f>
        <v>#N/A</v>
      </c>
      <c r="CO14" s="480" t="e">
        <f>(HLOOKUP($W14,'Inflation Adjustments'!$M$3:$BT$4,2,TRUE))*BE14</f>
        <v>#N/A</v>
      </c>
      <c r="CP14" s="481">
        <v>0</v>
      </c>
      <c r="CQ14" s="481">
        <v>0</v>
      </c>
      <c r="CR14" s="480" t="e">
        <f t="shared" si="54"/>
        <v>#N/A</v>
      </c>
      <c r="CS14" s="482">
        <v>0</v>
      </c>
      <c r="CT14" s="480" t="e">
        <f t="shared" si="55"/>
        <v>#N/A</v>
      </c>
      <c r="CU14" s="479">
        <v>0</v>
      </c>
      <c r="CV14" s="482">
        <v>0</v>
      </c>
      <c r="CW14" s="482">
        <v>0</v>
      </c>
      <c r="CX14" s="480" t="e">
        <f t="shared" si="56"/>
        <v>#N/A</v>
      </c>
      <c r="CY14" s="282">
        <f t="shared" si="57"/>
        <v>2023</v>
      </c>
      <c r="CZ14" s="482">
        <v>0</v>
      </c>
      <c r="DA14" s="479" t="e">
        <f t="shared" si="58"/>
        <v>#N/A</v>
      </c>
      <c r="DB14" s="479">
        <v>0</v>
      </c>
      <c r="DC14" s="482">
        <v>0</v>
      </c>
      <c r="DD14" s="482">
        <v>0</v>
      </c>
      <c r="DE14" s="480" t="e">
        <f t="shared" si="59"/>
        <v>#N/A</v>
      </c>
      <c r="DF14" s="482">
        <v>0</v>
      </c>
      <c r="DG14" s="479" t="e">
        <f t="shared" si="60"/>
        <v>#N/A</v>
      </c>
      <c r="DH14" s="481" t="e">
        <f t="shared" si="61"/>
        <v>#N/A</v>
      </c>
      <c r="DI14" s="481">
        <v>0</v>
      </c>
      <c r="DJ14" s="481">
        <v>0</v>
      </c>
      <c r="DK14" s="480" t="e">
        <f t="shared" si="62"/>
        <v>#N/A</v>
      </c>
    </row>
    <row r="15" spans="1:115" ht="51" customHeight="1" x14ac:dyDescent="0.3">
      <c r="A15" s="330"/>
      <c r="B15" s="318"/>
      <c r="C15" s="318"/>
      <c r="D15" s="318"/>
      <c r="E15" s="318"/>
      <c r="F15" s="318"/>
      <c r="G15" s="318"/>
      <c r="H15" s="318"/>
      <c r="I15" s="318"/>
      <c r="J15" s="318"/>
      <c r="K15" s="318"/>
      <c r="L15" s="318"/>
      <c r="M15" s="318"/>
      <c r="N15" s="318"/>
      <c r="O15" s="333"/>
      <c r="P15" s="318"/>
      <c r="Q15" s="318"/>
      <c r="R15" s="318"/>
      <c r="S15" s="318"/>
      <c r="T15" s="318"/>
      <c r="U15" s="318"/>
      <c r="V15" s="318"/>
      <c r="W15" s="318"/>
      <c r="X15" s="318"/>
      <c r="Y15" s="452"/>
      <c r="Z15" s="318"/>
      <c r="AA15" s="511" t="e">
        <f t="shared" si="31"/>
        <v>#N/A</v>
      </c>
      <c r="AB15" s="516" t="e">
        <f t="shared" si="32"/>
        <v>#N/A</v>
      </c>
      <c r="AC15" s="511" t="e">
        <f t="shared" si="33"/>
        <v>#N/A</v>
      </c>
      <c r="AD15" s="516" t="e">
        <f t="shared" si="34"/>
        <v>#N/A</v>
      </c>
      <c r="AE15" s="511" t="e">
        <f>HLOOKUP($C$1,'Inflation Adjustments'!$BI$3:$BT$4,2)*BH15</f>
        <v>#N/A</v>
      </c>
      <c r="AF15" s="511">
        <f>IF(AL15="In Service",AE15*'Maintenace Cost Assumptions'!B$4,0)</f>
        <v>0</v>
      </c>
      <c r="AG15" s="318"/>
      <c r="AH15" s="318"/>
      <c r="AI15" s="357"/>
      <c r="AJ15" s="357"/>
      <c r="AK15" s="338">
        <f>(AG15*'Condition rating weights'!H$24+AH15*'Condition rating weights'!I$24+AI15*'Condition rating weights'!R$24+AJ15*'Condition rating weights'!S$24)/100</f>
        <v>0</v>
      </c>
      <c r="AL15" s="454"/>
      <c r="AY15" s="478"/>
      <c r="AZ15" s="478"/>
      <c r="BB15" s="282">
        <f t="shared" si="35"/>
        <v>0</v>
      </c>
      <c r="BC15" s="479" t="e">
        <f t="shared" si="36"/>
        <v>#N/A</v>
      </c>
      <c r="BD15" s="479" t="e">
        <f t="shared" si="37"/>
        <v>#N/A</v>
      </c>
      <c r="BE15" s="479">
        <v>0</v>
      </c>
      <c r="BF15" s="479">
        <v>0</v>
      </c>
      <c r="BG15" s="479">
        <v>0</v>
      </c>
      <c r="BH15" s="480" t="e">
        <f t="shared" si="38"/>
        <v>#N/A</v>
      </c>
      <c r="BI15" s="480" t="e">
        <f>(HLOOKUP($U15,'Inflation Adjustments'!$B$3:$BT$4,2,TRUE))*BC15</f>
        <v>#N/A</v>
      </c>
      <c r="BJ15" s="480" t="e">
        <f>(HLOOKUP($U15,'Inflation Adjustments'!$B$3:$BT$4,2,TRUE))*BD15</f>
        <v>#N/A</v>
      </c>
      <c r="BK15" s="480">
        <v>0</v>
      </c>
      <c r="BL15" s="480">
        <v>0</v>
      </c>
      <c r="BM15" s="480">
        <v>0</v>
      </c>
      <c r="BN15" s="480" t="e">
        <f t="shared" si="39"/>
        <v>#N/A</v>
      </c>
      <c r="BO15" s="384">
        <f t="shared" si="40"/>
        <v>2022</v>
      </c>
      <c r="BP15" s="144" t="s">
        <v>179</v>
      </c>
      <c r="BQ15" s="384" t="e">
        <f t="shared" si="41"/>
        <v>#N/A</v>
      </c>
      <c r="BR15" s="384" t="s">
        <v>179</v>
      </c>
      <c r="BS15" s="384" t="s">
        <v>179</v>
      </c>
      <c r="BT15" s="144" t="s">
        <v>179</v>
      </c>
      <c r="BU15" s="481">
        <v>0</v>
      </c>
      <c r="BV15" s="479" t="e">
        <f t="shared" si="42"/>
        <v>#N/A</v>
      </c>
      <c r="BW15" s="479">
        <v>0</v>
      </c>
      <c r="BX15" s="479">
        <v>0</v>
      </c>
      <c r="BY15" s="479">
        <v>0</v>
      </c>
      <c r="BZ15" s="479" t="e">
        <f t="shared" si="43"/>
        <v>#N/A</v>
      </c>
      <c r="CA15" s="481">
        <v>0</v>
      </c>
      <c r="CB15" s="479" t="e">
        <f t="shared" si="44"/>
        <v>#N/A</v>
      </c>
      <c r="CC15" s="479">
        <f t="shared" si="45"/>
        <v>0</v>
      </c>
      <c r="CD15" s="479">
        <f t="shared" si="46"/>
        <v>0</v>
      </c>
      <c r="CE15" s="479">
        <f t="shared" si="47"/>
        <v>0</v>
      </c>
      <c r="CF15" s="480" t="e">
        <f t="shared" si="48"/>
        <v>#N/A</v>
      </c>
      <c r="CG15" s="481">
        <v>0</v>
      </c>
      <c r="CH15" s="479" t="e">
        <f t="shared" si="49"/>
        <v>#N/A</v>
      </c>
      <c r="CI15" s="479">
        <f t="shared" si="50"/>
        <v>0</v>
      </c>
      <c r="CJ15" s="479">
        <f t="shared" si="51"/>
        <v>0</v>
      </c>
      <c r="CK15" s="479">
        <f t="shared" si="52"/>
        <v>0</v>
      </c>
      <c r="CL15" s="480" t="e">
        <f t="shared" si="53"/>
        <v>#N/A</v>
      </c>
      <c r="CM15" s="481">
        <v>0</v>
      </c>
      <c r="CN15" s="480" t="e">
        <f>(HLOOKUP($W15,'Inflation Adjustments'!$B$3:$BT$4,2,TRUE))*BD15</f>
        <v>#N/A</v>
      </c>
      <c r="CO15" s="480" t="e">
        <f>(HLOOKUP($W15,'Inflation Adjustments'!$M$3:$BT$4,2,TRUE))*BE15</f>
        <v>#N/A</v>
      </c>
      <c r="CP15" s="481">
        <v>0</v>
      </c>
      <c r="CQ15" s="481">
        <v>0</v>
      </c>
      <c r="CR15" s="480" t="e">
        <f t="shared" si="54"/>
        <v>#N/A</v>
      </c>
      <c r="CS15" s="482">
        <v>0</v>
      </c>
      <c r="CT15" s="480" t="e">
        <f t="shared" si="55"/>
        <v>#N/A</v>
      </c>
      <c r="CU15" s="479">
        <v>0</v>
      </c>
      <c r="CV15" s="482">
        <v>0</v>
      </c>
      <c r="CW15" s="482">
        <v>0</v>
      </c>
      <c r="CX15" s="480" t="e">
        <f t="shared" si="56"/>
        <v>#N/A</v>
      </c>
      <c r="CY15" s="282">
        <f t="shared" si="57"/>
        <v>2023</v>
      </c>
      <c r="CZ15" s="482">
        <v>0</v>
      </c>
      <c r="DA15" s="479" t="e">
        <f t="shared" si="58"/>
        <v>#N/A</v>
      </c>
      <c r="DB15" s="479">
        <v>0</v>
      </c>
      <c r="DC15" s="482">
        <v>0</v>
      </c>
      <c r="DD15" s="482">
        <v>0</v>
      </c>
      <c r="DE15" s="480" t="e">
        <f t="shared" si="59"/>
        <v>#N/A</v>
      </c>
      <c r="DF15" s="482">
        <v>0</v>
      </c>
      <c r="DG15" s="479" t="e">
        <f t="shared" si="60"/>
        <v>#N/A</v>
      </c>
      <c r="DH15" s="481" t="e">
        <f t="shared" si="61"/>
        <v>#N/A</v>
      </c>
      <c r="DI15" s="481">
        <v>0</v>
      </c>
      <c r="DJ15" s="481">
        <v>0</v>
      </c>
      <c r="DK15" s="480" t="e">
        <f t="shared" si="62"/>
        <v>#N/A</v>
      </c>
    </row>
    <row r="16" spans="1:115" ht="51" customHeight="1" x14ac:dyDescent="0.3">
      <c r="A16" s="330"/>
      <c r="B16" s="318"/>
      <c r="C16" s="318"/>
      <c r="D16" s="318"/>
      <c r="E16" s="318"/>
      <c r="F16" s="318"/>
      <c r="G16" s="318"/>
      <c r="H16" s="318"/>
      <c r="I16" s="318"/>
      <c r="J16" s="318"/>
      <c r="K16" s="318"/>
      <c r="L16" s="318"/>
      <c r="M16" s="318"/>
      <c r="N16" s="318"/>
      <c r="O16" s="333"/>
      <c r="P16" s="318"/>
      <c r="Q16" s="318"/>
      <c r="R16" s="318"/>
      <c r="S16" s="318"/>
      <c r="T16" s="318"/>
      <c r="U16" s="318"/>
      <c r="V16" s="318"/>
      <c r="W16" s="318"/>
      <c r="X16" s="318"/>
      <c r="Y16" s="452"/>
      <c r="Z16" s="318"/>
      <c r="AA16" s="511" t="e">
        <f t="shared" si="31"/>
        <v>#N/A</v>
      </c>
      <c r="AB16" s="516" t="e">
        <f t="shared" si="32"/>
        <v>#N/A</v>
      </c>
      <c r="AC16" s="511" t="e">
        <f t="shared" si="33"/>
        <v>#N/A</v>
      </c>
      <c r="AD16" s="516" t="e">
        <f t="shared" si="34"/>
        <v>#N/A</v>
      </c>
      <c r="AE16" s="511" t="e">
        <f>HLOOKUP($C$1,'Inflation Adjustments'!$BI$3:$BT$4,2)*BH16</f>
        <v>#N/A</v>
      </c>
      <c r="AF16" s="511">
        <f>IF(AL16="In Service",AE16*'Maintenace Cost Assumptions'!B$4,0)</f>
        <v>0</v>
      </c>
      <c r="AG16" s="318"/>
      <c r="AH16" s="318"/>
      <c r="AI16" s="357"/>
      <c r="AJ16" s="357"/>
      <c r="AK16" s="338">
        <f>(AG16*'Condition rating weights'!H$24+AH16*'Condition rating weights'!I$24+AI16*'Condition rating weights'!R$24+AJ16*'Condition rating weights'!S$24)/100</f>
        <v>0</v>
      </c>
      <c r="AL16" s="454"/>
      <c r="AY16" s="478"/>
      <c r="AZ16" s="478"/>
      <c r="BB16" s="282">
        <f t="shared" si="35"/>
        <v>0</v>
      </c>
      <c r="BC16" s="479" t="e">
        <f t="shared" si="36"/>
        <v>#N/A</v>
      </c>
      <c r="BD16" s="479" t="e">
        <f t="shared" si="37"/>
        <v>#N/A</v>
      </c>
      <c r="BE16" s="479">
        <v>0</v>
      </c>
      <c r="BF16" s="479">
        <v>0</v>
      </c>
      <c r="BG16" s="479">
        <v>0</v>
      </c>
      <c r="BH16" s="480" t="e">
        <f t="shared" si="38"/>
        <v>#N/A</v>
      </c>
      <c r="BI16" s="480" t="e">
        <f>(HLOOKUP($U16,'Inflation Adjustments'!$B$3:$BT$4,2,TRUE))*BC16</f>
        <v>#N/A</v>
      </c>
      <c r="BJ16" s="480" t="e">
        <f>(HLOOKUP($U16,'Inflation Adjustments'!$B$3:$BT$4,2,TRUE))*BD16</f>
        <v>#N/A</v>
      </c>
      <c r="BK16" s="480">
        <v>0</v>
      </c>
      <c r="BL16" s="480">
        <v>0</v>
      </c>
      <c r="BM16" s="480">
        <v>0</v>
      </c>
      <c r="BN16" s="480" t="e">
        <f t="shared" si="39"/>
        <v>#N/A</v>
      </c>
      <c r="BO16" s="384">
        <f t="shared" si="40"/>
        <v>2022</v>
      </c>
      <c r="BP16" s="144" t="s">
        <v>179</v>
      </c>
      <c r="BQ16" s="384" t="e">
        <f t="shared" si="41"/>
        <v>#N/A</v>
      </c>
      <c r="BR16" s="384" t="s">
        <v>179</v>
      </c>
      <c r="BS16" s="384" t="s">
        <v>179</v>
      </c>
      <c r="BT16" s="144" t="s">
        <v>179</v>
      </c>
      <c r="BU16" s="481">
        <v>0</v>
      </c>
      <c r="BV16" s="479" t="e">
        <f t="shared" si="42"/>
        <v>#N/A</v>
      </c>
      <c r="BW16" s="479">
        <v>0</v>
      </c>
      <c r="BX16" s="479">
        <v>0</v>
      </c>
      <c r="BY16" s="479">
        <v>0</v>
      </c>
      <c r="BZ16" s="479" t="e">
        <f t="shared" si="43"/>
        <v>#N/A</v>
      </c>
      <c r="CA16" s="481">
        <v>0</v>
      </c>
      <c r="CB16" s="479" t="e">
        <f t="shared" si="44"/>
        <v>#N/A</v>
      </c>
      <c r="CC16" s="479">
        <f t="shared" si="45"/>
        <v>0</v>
      </c>
      <c r="CD16" s="479">
        <f t="shared" si="46"/>
        <v>0</v>
      </c>
      <c r="CE16" s="479">
        <f t="shared" si="47"/>
        <v>0</v>
      </c>
      <c r="CF16" s="480" t="e">
        <f t="shared" si="48"/>
        <v>#N/A</v>
      </c>
      <c r="CG16" s="481">
        <v>0</v>
      </c>
      <c r="CH16" s="479" t="e">
        <f t="shared" si="49"/>
        <v>#N/A</v>
      </c>
      <c r="CI16" s="479">
        <f t="shared" si="50"/>
        <v>0</v>
      </c>
      <c r="CJ16" s="479">
        <f t="shared" si="51"/>
        <v>0</v>
      </c>
      <c r="CK16" s="479">
        <f t="shared" si="52"/>
        <v>0</v>
      </c>
      <c r="CL16" s="480" t="e">
        <f t="shared" si="53"/>
        <v>#N/A</v>
      </c>
      <c r="CM16" s="481">
        <v>0</v>
      </c>
      <c r="CN16" s="480" t="e">
        <f>(HLOOKUP($W16,'Inflation Adjustments'!$B$3:$BT$4,2,TRUE))*BD16</f>
        <v>#N/A</v>
      </c>
      <c r="CO16" s="480" t="e">
        <f>(HLOOKUP($W16,'Inflation Adjustments'!$M$3:$BT$4,2,TRUE))*BE16</f>
        <v>#N/A</v>
      </c>
      <c r="CP16" s="481">
        <v>0</v>
      </c>
      <c r="CQ16" s="481">
        <v>0</v>
      </c>
      <c r="CR16" s="480" t="e">
        <f t="shared" si="54"/>
        <v>#N/A</v>
      </c>
      <c r="CS16" s="482">
        <v>0</v>
      </c>
      <c r="CT16" s="480" t="e">
        <f t="shared" si="55"/>
        <v>#N/A</v>
      </c>
      <c r="CU16" s="479">
        <v>0</v>
      </c>
      <c r="CV16" s="482">
        <v>0</v>
      </c>
      <c r="CW16" s="482">
        <v>0</v>
      </c>
      <c r="CX16" s="480" t="e">
        <f t="shared" si="56"/>
        <v>#N/A</v>
      </c>
      <c r="CY16" s="282">
        <f t="shared" si="57"/>
        <v>2023</v>
      </c>
      <c r="CZ16" s="482">
        <v>0</v>
      </c>
      <c r="DA16" s="479" t="e">
        <f t="shared" si="58"/>
        <v>#N/A</v>
      </c>
      <c r="DB16" s="479">
        <v>0</v>
      </c>
      <c r="DC16" s="482">
        <v>0</v>
      </c>
      <c r="DD16" s="482">
        <v>0</v>
      </c>
      <c r="DE16" s="480" t="e">
        <f t="shared" si="59"/>
        <v>#N/A</v>
      </c>
      <c r="DF16" s="482">
        <v>0</v>
      </c>
      <c r="DG16" s="479" t="e">
        <f t="shared" si="60"/>
        <v>#N/A</v>
      </c>
      <c r="DH16" s="481" t="e">
        <f t="shared" si="61"/>
        <v>#N/A</v>
      </c>
      <c r="DI16" s="481">
        <v>0</v>
      </c>
      <c r="DJ16" s="481">
        <v>0</v>
      </c>
      <c r="DK16" s="480" t="e">
        <f t="shared" si="62"/>
        <v>#N/A</v>
      </c>
    </row>
    <row r="17" spans="3:98" ht="20" customHeight="1" x14ac:dyDescent="0.3">
      <c r="C17" s="462"/>
      <c r="D17" s="462"/>
      <c r="E17" s="462"/>
      <c r="F17" s="462"/>
      <c r="G17" s="462"/>
      <c r="H17" s="462"/>
      <c r="I17" s="462"/>
      <c r="J17" s="462"/>
      <c r="K17" s="462"/>
      <c r="L17" s="462"/>
      <c r="M17" s="462"/>
      <c r="N17" s="462"/>
      <c r="O17" s="462"/>
      <c r="P17" s="462"/>
      <c r="Q17" s="462"/>
      <c r="R17" s="462"/>
      <c r="S17" s="462"/>
      <c r="T17" s="462"/>
      <c r="U17" s="462"/>
      <c r="V17" s="462"/>
      <c r="W17" s="462"/>
      <c r="X17" s="462"/>
      <c r="Y17" s="463"/>
      <c r="Z17" s="463"/>
      <c r="AA17" s="463"/>
      <c r="AB17" s="463"/>
      <c r="AC17" s="463"/>
      <c r="AD17" s="463"/>
      <c r="AE17" s="463"/>
      <c r="AF17" s="467"/>
      <c r="AG17" s="463"/>
      <c r="AH17" s="463"/>
      <c r="AI17" s="463"/>
      <c r="AJ17" s="463"/>
      <c r="CR17" s="480"/>
      <c r="CT17" s="480"/>
    </row>
    <row r="18" spans="3:98" ht="20" customHeight="1" x14ac:dyDescent="0.3">
      <c r="C18" s="462"/>
      <c r="D18" s="462"/>
      <c r="E18" s="462"/>
      <c r="F18" s="462"/>
      <c r="G18" s="462"/>
      <c r="H18" s="462"/>
      <c r="I18" s="462"/>
      <c r="J18" s="462"/>
      <c r="K18" s="462"/>
      <c r="L18" s="462"/>
      <c r="M18" s="462"/>
      <c r="N18" s="462"/>
      <c r="O18" s="462"/>
      <c r="P18" s="462"/>
      <c r="Q18" s="462"/>
      <c r="R18" s="462"/>
      <c r="S18" s="462"/>
      <c r="T18" s="462"/>
      <c r="U18" s="462"/>
      <c r="V18" s="462"/>
      <c r="W18" s="462"/>
      <c r="X18" s="462"/>
      <c r="Y18" s="463"/>
      <c r="Z18" s="463"/>
      <c r="AA18" s="463"/>
      <c r="AB18" s="463"/>
      <c r="AC18" s="463"/>
      <c r="AD18" s="463"/>
      <c r="AE18" s="463"/>
      <c r="AF18" s="463"/>
      <c r="AG18" s="463"/>
      <c r="AH18" s="463"/>
      <c r="AI18" s="463"/>
      <c r="AJ18" s="463"/>
    </row>
    <row r="19" spans="3:98" ht="20" customHeight="1" x14ac:dyDescent="0.3">
      <c r="C19" s="462"/>
      <c r="D19" s="462"/>
      <c r="E19" s="462"/>
      <c r="F19" s="462"/>
      <c r="G19" s="462"/>
      <c r="H19" s="462"/>
      <c r="I19" s="462"/>
      <c r="J19" s="462"/>
      <c r="K19" s="462"/>
      <c r="L19" s="462"/>
      <c r="M19" s="462"/>
      <c r="N19" s="462"/>
      <c r="O19" s="462">
        <f>SUM(O5:O12)</f>
        <v>9000</v>
      </c>
      <c r="P19" s="462"/>
      <c r="Q19" s="462"/>
      <c r="R19" s="462"/>
      <c r="S19" s="462"/>
      <c r="T19" s="462"/>
      <c r="U19" s="462"/>
      <c r="V19" s="462"/>
      <c r="W19" s="462"/>
      <c r="X19" s="462"/>
      <c r="Y19" s="463"/>
      <c r="Z19" s="463"/>
      <c r="AC19" s="463"/>
      <c r="AD19" s="463"/>
      <c r="AE19" s="463"/>
      <c r="AF19" s="463"/>
      <c r="AG19" s="463"/>
      <c r="AH19" s="463"/>
      <c r="AI19" s="463"/>
      <c r="AJ19" s="463"/>
    </row>
    <row r="20" spans="3:98" x14ac:dyDescent="0.3">
      <c r="C20" s="462"/>
      <c r="D20" s="462"/>
      <c r="E20" s="462"/>
      <c r="F20" s="462"/>
      <c r="G20" s="462"/>
      <c r="H20" s="462"/>
      <c r="I20" s="462"/>
      <c r="J20" s="462"/>
      <c r="K20" s="462"/>
      <c r="L20" s="462"/>
      <c r="M20" s="462"/>
      <c r="N20" s="462"/>
      <c r="O20" s="462"/>
      <c r="P20" s="462"/>
      <c r="Q20" s="462"/>
      <c r="R20" s="462"/>
      <c r="S20" s="462"/>
      <c r="T20" s="462"/>
      <c r="U20" s="462"/>
      <c r="V20" s="462"/>
      <c r="W20" s="462"/>
      <c r="X20" s="462"/>
      <c r="AC20" s="463"/>
      <c r="AD20" s="463"/>
      <c r="AE20" s="463"/>
      <c r="AF20" s="463"/>
      <c r="AG20" s="463"/>
      <c r="AH20" s="463"/>
      <c r="AI20" s="463"/>
      <c r="AJ20" s="463"/>
    </row>
    <row r="21" spans="3:98" x14ac:dyDescent="0.3">
      <c r="C21" s="462"/>
      <c r="D21" s="462"/>
      <c r="E21" s="462"/>
      <c r="F21" s="462"/>
      <c r="G21" s="462"/>
      <c r="H21" s="462"/>
      <c r="I21" s="462"/>
      <c r="J21" s="462"/>
      <c r="K21" s="462"/>
      <c r="L21" s="462"/>
      <c r="M21" s="462"/>
      <c r="N21" s="462"/>
      <c r="O21" s="462"/>
      <c r="P21" s="462"/>
      <c r="Q21" s="462"/>
      <c r="R21" s="462"/>
      <c r="S21" s="462"/>
      <c r="T21" s="462"/>
      <c r="U21" s="462"/>
      <c r="V21" s="462"/>
      <c r="W21" s="462"/>
      <c r="X21" s="462"/>
    </row>
    <row r="22" spans="3:98" ht="28" customHeight="1" x14ac:dyDescent="0.3">
      <c r="C22" s="462"/>
      <c r="D22" s="462"/>
      <c r="E22" s="462"/>
      <c r="F22" s="462"/>
      <c r="G22" s="462"/>
      <c r="H22" s="462"/>
      <c r="I22" s="462"/>
      <c r="J22" s="462"/>
      <c r="K22" s="462"/>
      <c r="L22" s="462"/>
      <c r="M22" s="462"/>
      <c r="N22" s="462"/>
      <c r="O22" s="462"/>
      <c r="P22" s="462"/>
      <c r="Q22" s="462"/>
      <c r="R22" s="462"/>
      <c r="S22" s="462"/>
      <c r="T22" s="462"/>
      <c r="U22" s="462"/>
      <c r="V22" s="462"/>
      <c r="W22" s="462"/>
      <c r="X22" s="462"/>
      <c r="Y22" s="466">
        <f t="shared" ref="Y22:AD22" si="63">SUM(Y5:Y12)</f>
        <v>1856602.0618045942</v>
      </c>
      <c r="Z22" s="466">
        <f t="shared" si="63"/>
        <v>0</v>
      </c>
      <c r="AA22" s="466">
        <f t="shared" si="63"/>
        <v>1168455.4334011159</v>
      </c>
      <c r="AB22" s="466">
        <f t="shared" si="63"/>
        <v>688146.6284034783</v>
      </c>
      <c r="AC22" s="466">
        <f t="shared" si="63"/>
        <v>127661.96444589252</v>
      </c>
      <c r="AD22" s="466">
        <f t="shared" si="63"/>
        <v>560484.66395758581</v>
      </c>
      <c r="AE22" s="466">
        <f>SUM(AE5:AE12)</f>
        <v>8801382.9749999996</v>
      </c>
      <c r="AF22" s="466">
        <f>SUM(AF5:AF12)</f>
        <v>440069.14875000005</v>
      </c>
    </row>
    <row r="23" spans="3:98" x14ac:dyDescent="0.3">
      <c r="C23" s="462"/>
      <c r="D23" s="462"/>
      <c r="E23" s="462"/>
      <c r="F23" s="462"/>
      <c r="G23" s="462"/>
      <c r="H23" s="462"/>
      <c r="I23" s="462"/>
      <c r="J23" s="462"/>
      <c r="K23" s="462"/>
      <c r="L23" s="462"/>
      <c r="M23" s="462"/>
      <c r="N23" s="462"/>
      <c r="O23" s="462"/>
      <c r="P23" s="462"/>
      <c r="Q23" s="462"/>
      <c r="R23" s="462"/>
      <c r="S23" s="462"/>
      <c r="T23" s="462"/>
      <c r="U23" s="462"/>
      <c r="V23" s="462"/>
      <c r="W23" s="462"/>
      <c r="X23" s="462"/>
    </row>
    <row r="24" spans="3:98" x14ac:dyDescent="0.3">
      <c r="C24" s="462"/>
      <c r="D24" s="462"/>
      <c r="E24" s="462"/>
      <c r="F24" s="462"/>
      <c r="G24" s="462"/>
      <c r="H24" s="462"/>
      <c r="I24" s="462"/>
      <c r="J24" s="462"/>
      <c r="K24" s="462"/>
      <c r="L24" s="462"/>
      <c r="M24" s="462"/>
      <c r="N24" s="462"/>
      <c r="O24" s="462"/>
      <c r="P24" s="462"/>
      <c r="Q24" s="462"/>
      <c r="R24" s="462"/>
      <c r="S24" s="462"/>
      <c r="T24" s="462"/>
      <c r="U24" s="462"/>
      <c r="V24" s="462"/>
      <c r="W24" s="462"/>
      <c r="X24" s="462"/>
    </row>
    <row r="25" spans="3:98" x14ac:dyDescent="0.3">
      <c r="C25" s="462"/>
      <c r="D25" s="462"/>
      <c r="E25" s="462"/>
      <c r="F25" s="462"/>
      <c r="G25" s="462"/>
      <c r="H25" s="462"/>
      <c r="I25" s="462"/>
      <c r="J25" s="462"/>
      <c r="K25" s="462"/>
      <c r="L25" s="462"/>
      <c r="M25" s="462"/>
      <c r="N25" s="462"/>
      <c r="O25" s="462"/>
      <c r="P25" s="462"/>
      <c r="Q25" s="462"/>
      <c r="R25" s="462"/>
      <c r="S25" s="462"/>
      <c r="T25" s="462"/>
      <c r="U25" s="462"/>
      <c r="V25" s="462"/>
      <c r="W25" s="462"/>
      <c r="X25" s="462"/>
    </row>
  </sheetData>
  <mergeCells count="35">
    <mergeCell ref="AT7:AZ7"/>
    <mergeCell ref="AT10:AZ10"/>
    <mergeCell ref="BP3:BT3"/>
    <mergeCell ref="BU3:BZ3"/>
    <mergeCell ref="CA3:CF3"/>
    <mergeCell ref="BI3:BN3"/>
    <mergeCell ref="BC3:BH3"/>
    <mergeCell ref="AL3:AL4"/>
    <mergeCell ref="CZ3:DE3"/>
    <mergeCell ref="DF3:DK3"/>
    <mergeCell ref="AT4:AZ4"/>
    <mergeCell ref="CG3:CL3"/>
    <mergeCell ref="CM3:CR3"/>
    <mergeCell ref="CS3:CX3"/>
    <mergeCell ref="AB3:AB4"/>
    <mergeCell ref="AC3:AC4"/>
    <mergeCell ref="AE3:AE4"/>
    <mergeCell ref="AF3:AF4"/>
    <mergeCell ref="AG3:AH3"/>
    <mergeCell ref="A1:B1"/>
    <mergeCell ref="A2:K2"/>
    <mergeCell ref="L2:Q2"/>
    <mergeCell ref="CM2:CW2"/>
    <mergeCell ref="L3:M3"/>
    <mergeCell ref="N3:O3"/>
    <mergeCell ref="P3:Q3"/>
    <mergeCell ref="R3:R4"/>
    <mergeCell ref="S3:T3"/>
    <mergeCell ref="AD3:AD4"/>
    <mergeCell ref="R2:AD2"/>
    <mergeCell ref="AE2:AK2"/>
    <mergeCell ref="BU2:CF2"/>
    <mergeCell ref="U3:V3"/>
    <mergeCell ref="Y3:Z3"/>
    <mergeCell ref="AA3:AA4"/>
  </mergeCells>
  <conditionalFormatting sqref="AG5:AI12">
    <cfRule type="cellIs" dxfId="55" priority="5" operator="equal">
      <formula>1</formula>
    </cfRule>
    <cfRule type="cellIs" dxfId="54" priority="6" operator="equal">
      <formula>2</formula>
    </cfRule>
    <cfRule type="cellIs" dxfId="53" priority="7" operator="equal">
      <formula>3</formula>
    </cfRule>
    <cfRule type="cellIs" dxfId="52" priority="8" operator="greaterThan">
      <formula>3.9</formula>
    </cfRule>
  </conditionalFormatting>
  <conditionalFormatting sqref="AK5:AK16">
    <cfRule type="cellIs" dxfId="51" priority="1" operator="between">
      <formula>0</formula>
      <formula>0.2</formula>
    </cfRule>
    <cfRule type="cellIs" dxfId="50" priority="2" operator="between">
      <formula>0.21</formula>
      <formula>0.4</formula>
    </cfRule>
    <cfRule type="cellIs" dxfId="49" priority="3" operator="between">
      <formula>0.41</formula>
      <formula>0.6</formula>
    </cfRule>
    <cfRule type="cellIs" dxfId="48" priority="4" operator="greaterThan">
      <formula>0.6</formula>
    </cfRule>
  </conditionalFormatting>
  <pageMargins left="0.7" right="0.7" top="0.75" bottom="0.75" header="0.3" footer="0.3"/>
  <headerFooter>
    <oddFooter>&amp;C_x000D_&amp;1#&amp;"Calibri"&amp;8&amp;K000000 INTERNAL. This information is accessible to ADB Management and staff. It may be shared outside ADB with appropriate permission.</oddFooter>
  </headerFooter>
  <extLst>
    <ext xmlns:x14="http://schemas.microsoft.com/office/spreadsheetml/2009/9/main" uri="{CCE6A557-97BC-4b89-ADB6-D9C93CAAB3DF}">
      <x14:dataValidations xmlns:xm="http://schemas.microsoft.com/office/excel/2006/main" count="7">
        <x14:dataValidation type="list" allowBlank="1" showInputMessage="1" showErrorMessage="1" xr:uid="{45952287-FB42-466D-949A-BD8AA95E8652}">
          <x14:formula1>
            <xm:f>'Condition rating weights'!$C$29:$C$34</xm:f>
          </x14:formula1>
          <xm:sqref>AG5:AJ16</xm:sqref>
        </x14:dataValidation>
        <x14:dataValidation type="list" allowBlank="1" showInputMessage="1" showErrorMessage="1" xr:uid="{4A92504B-1896-4DF1-A699-84EF52BA2F4D}">
          <x14:formula1>
            <xm:f>'AR-Hierarchy '!$J$112:$J$114</xm:f>
          </x14:formula1>
          <xm:sqref>M5:M16</xm:sqref>
        </x14:dataValidation>
        <x14:dataValidation type="list" allowBlank="1" showInputMessage="1" showErrorMessage="1" xr:uid="{E04386D9-1CCA-4CE8-A2C7-1A8C1A953EAA}">
          <x14:formula1>
            <xm:f>'AR-Hierarchy '!$J$108:$J$110</xm:f>
          </x14:formula1>
          <xm:sqref>L5:L16</xm:sqref>
        </x14:dataValidation>
        <x14:dataValidation type="list" allowBlank="1" showInputMessage="1" showErrorMessage="1" xr:uid="{5D678881-1718-4B42-8E77-068B0699D607}">
          <x14:formula1>
            <xm:f>'AR-Hierarchy '!$D$138:$D$139</xm:f>
          </x14:formula1>
          <xm:sqref>D5:D16</xm:sqref>
        </x14:dataValidation>
        <x14:dataValidation type="list" allowBlank="1" showInputMessage="1" showErrorMessage="1" xr:uid="{889DF648-8DC9-4C72-BBD2-80EE1E07E4C2}">
          <x14:formula1>
            <xm:f>'AR-Hierarchy '!$H$138:$H$139</xm:f>
          </x14:formula1>
          <xm:sqref>F5:F16</xm:sqref>
        </x14:dataValidation>
        <x14:dataValidation type="list" allowBlank="1" showInputMessage="1" showErrorMessage="1" xr:uid="{C815B687-10A3-43D6-95C0-CA36A61554CB}">
          <x14:formula1>
            <xm:f>'Inflation Adjustments'!$B$3:$BT$3</xm:f>
          </x14:formula1>
          <xm:sqref>S5:S16 W5:W16</xm:sqref>
        </x14:dataValidation>
        <x14:dataValidation type="list" allowBlank="1" showInputMessage="1" showErrorMessage="1" xr:uid="{28E61B08-3C66-4AE1-B640-51EC1286CF88}">
          <x14:formula1>
            <xm:f>'AR-Hierarchy '!$B$4:$B$53</xm:f>
          </x14:formula1>
          <xm:sqref>C5:C16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17063-A681-4FE9-9D26-FD5FEE5F8E6F}">
  <dimension ref="A1:DM20"/>
  <sheetViews>
    <sheetView topLeftCell="AB10" zoomScale="101" workbookViewId="0">
      <selection activeCell="AD29" sqref="AD29"/>
    </sheetView>
  </sheetViews>
  <sheetFormatPr defaultColWidth="8.81640625" defaultRowHeight="14" x14ac:dyDescent="0.3"/>
  <cols>
    <col min="1" max="40" width="35.6328125" style="289" customWidth="1"/>
    <col min="41" max="49" width="8.81640625" style="91"/>
    <col min="50" max="50" width="8.81640625" style="91" bestFit="1" customWidth="1"/>
    <col min="51" max="51" width="8.81640625" style="91"/>
    <col min="52" max="52" width="8.81640625" style="91" bestFit="1" customWidth="1"/>
    <col min="53" max="55" width="8.81640625" style="91"/>
    <col min="56" max="56" width="8.81640625" style="91" bestFit="1" customWidth="1"/>
    <col min="57" max="57" width="12.6328125" style="91" bestFit="1" customWidth="1"/>
    <col min="58" max="58" width="11.1796875" style="91" bestFit="1" customWidth="1"/>
    <col min="59" max="59" width="11.08984375" style="91" bestFit="1" customWidth="1"/>
    <col min="60" max="60" width="8.81640625" style="91"/>
    <col min="61" max="61" width="11.08984375" style="91" bestFit="1" customWidth="1"/>
    <col min="62" max="62" width="14.36328125" style="91" customWidth="1"/>
    <col min="63" max="63" width="12.36328125" style="91" customWidth="1"/>
    <col min="64" max="64" width="9.1796875" style="91" bestFit="1" customWidth="1"/>
    <col min="65" max="65" width="11" style="91" customWidth="1"/>
    <col min="66" max="67" width="8.81640625" style="91"/>
    <col min="68" max="68" width="10.81640625" style="91" customWidth="1"/>
    <col min="69" max="69" width="16.36328125" style="91" customWidth="1"/>
    <col min="70" max="70" width="10" style="91" customWidth="1"/>
    <col min="71" max="71" width="8.81640625" style="91" bestFit="1" customWidth="1"/>
    <col min="72" max="72" width="9.1796875" style="91" bestFit="1" customWidth="1"/>
    <col min="73" max="74" width="8.81640625" style="91"/>
    <col min="75" max="75" width="10.81640625" style="91" customWidth="1"/>
    <col min="76" max="76" width="8.90625" style="91" bestFit="1" customWidth="1"/>
    <col min="77" max="77" width="9.1796875" style="91" bestFit="1" customWidth="1"/>
    <col min="78" max="79" width="8.81640625" style="91" bestFit="1" customWidth="1"/>
    <col min="80" max="80" width="8.81640625" style="91" customWidth="1"/>
    <col min="81" max="81" width="10.08984375" style="91" customWidth="1"/>
    <col min="82" max="82" width="9.1796875" style="91" bestFit="1" customWidth="1"/>
    <col min="83" max="83" width="12.453125" style="91" customWidth="1"/>
    <col min="84" max="85" width="8.81640625" style="91"/>
    <col min="86" max="86" width="11.1796875" style="91" bestFit="1" customWidth="1"/>
    <col min="87" max="92" width="11.08984375" style="91" customWidth="1"/>
    <col min="93" max="93" width="9.453125" style="91" customWidth="1"/>
    <col min="94" max="94" width="8.81640625" style="91" bestFit="1" customWidth="1"/>
    <col min="95" max="95" width="11.1796875" style="91" bestFit="1" customWidth="1"/>
    <col min="96" max="97" width="8.81640625" style="91" bestFit="1" customWidth="1"/>
    <col min="98" max="98" width="11.1796875" style="91" bestFit="1" customWidth="1"/>
    <col min="99" max="99" width="9.6328125" style="91" customWidth="1"/>
    <col min="100" max="100" width="8.81640625" style="91" bestFit="1" customWidth="1"/>
    <col min="101" max="101" width="9.1796875" style="91" bestFit="1" customWidth="1"/>
    <col min="102" max="103" width="8.81640625" style="91" bestFit="1" customWidth="1"/>
    <col min="104" max="104" width="9.1796875" style="91" bestFit="1" customWidth="1"/>
    <col min="105" max="105" width="12.1796875" style="91" customWidth="1"/>
    <col min="106" max="106" width="10.1796875" style="91" customWidth="1"/>
    <col min="107" max="107" width="8.81640625" style="91" bestFit="1" customWidth="1"/>
    <col min="108" max="108" width="12" style="91" customWidth="1"/>
    <col min="109" max="110" width="8.81640625" style="91" bestFit="1" customWidth="1"/>
    <col min="111" max="111" width="11.1796875" style="91" bestFit="1" customWidth="1"/>
    <col min="112" max="112" width="9.90625" style="91" customWidth="1"/>
    <col min="113" max="117" width="8.81640625" style="91" bestFit="1" customWidth="1"/>
    <col min="118" max="16384" width="8.81640625" style="91"/>
  </cols>
  <sheetData>
    <row r="1" spans="1:117" ht="39" customHeight="1" thickTop="1" x14ac:dyDescent="0.3">
      <c r="A1" s="621" t="s">
        <v>32</v>
      </c>
      <c r="B1" s="622"/>
      <c r="C1" s="288">
        <v>2023</v>
      </c>
    </row>
    <row r="2" spans="1:117" ht="43" customHeight="1" thickBot="1" x14ac:dyDescent="0.35">
      <c r="A2" s="584" t="s">
        <v>1403</v>
      </c>
      <c r="B2" s="585"/>
      <c r="C2" s="585"/>
      <c r="D2" s="585"/>
      <c r="E2" s="585"/>
      <c r="F2" s="585"/>
      <c r="G2" s="585"/>
      <c r="H2" s="585"/>
      <c r="I2" s="585"/>
      <c r="J2" s="585"/>
      <c r="K2" s="649"/>
      <c r="L2" s="584" t="s">
        <v>298</v>
      </c>
      <c r="M2" s="585"/>
      <c r="N2" s="585"/>
      <c r="O2" s="585"/>
      <c r="P2" s="585"/>
      <c r="Q2" s="585"/>
      <c r="R2" s="586"/>
      <c r="S2" s="592" t="s">
        <v>267</v>
      </c>
      <c r="T2" s="593"/>
      <c r="U2" s="593"/>
      <c r="V2" s="593"/>
      <c r="W2" s="593"/>
      <c r="X2" s="593"/>
      <c r="Y2" s="593"/>
      <c r="Z2" s="593"/>
      <c r="AA2" s="593"/>
      <c r="AB2" s="593"/>
      <c r="AC2" s="593"/>
      <c r="AD2" s="593"/>
      <c r="AE2" s="594"/>
      <c r="AF2" s="592" t="s">
        <v>268</v>
      </c>
      <c r="AG2" s="593"/>
      <c r="AH2" s="593"/>
      <c r="AI2" s="593"/>
      <c r="AJ2" s="593"/>
      <c r="AK2" s="593"/>
      <c r="AL2" s="593"/>
      <c r="AM2" s="593"/>
      <c r="AN2" s="483"/>
      <c r="BW2" s="589" t="s">
        <v>828</v>
      </c>
      <c r="BX2" s="589"/>
      <c r="BY2" s="589"/>
      <c r="BZ2" s="589"/>
      <c r="CA2" s="589"/>
      <c r="CB2" s="589"/>
      <c r="CC2" s="589"/>
      <c r="CD2" s="589"/>
      <c r="CE2" s="589"/>
      <c r="CF2" s="589"/>
      <c r="CG2" s="589"/>
      <c r="CH2" s="589"/>
      <c r="CI2" s="93"/>
      <c r="CJ2" s="93"/>
      <c r="CK2" s="93"/>
      <c r="CL2" s="93"/>
      <c r="CM2" s="93"/>
      <c r="CN2" s="93"/>
      <c r="CO2" s="589" t="s">
        <v>829</v>
      </c>
      <c r="CP2" s="589"/>
      <c r="CQ2" s="589"/>
      <c r="CR2" s="589"/>
      <c r="CS2" s="589"/>
      <c r="CT2" s="589"/>
      <c r="CU2" s="589"/>
      <c r="CV2" s="589"/>
      <c r="CW2" s="589"/>
      <c r="CX2" s="589"/>
      <c r="CY2" s="589"/>
      <c r="CZ2" s="93"/>
      <c r="DA2" s="93"/>
    </row>
    <row r="3" spans="1:117" ht="73" customHeight="1" thickTop="1" x14ac:dyDescent="0.3">
      <c r="A3" s="484" t="s">
        <v>0</v>
      </c>
      <c r="B3" s="298" t="s">
        <v>34</v>
      </c>
      <c r="C3" s="298" t="s">
        <v>250</v>
      </c>
      <c r="D3" s="298" t="s">
        <v>251</v>
      </c>
      <c r="E3" s="298" t="s">
        <v>1</v>
      </c>
      <c r="F3" s="298" t="s">
        <v>2</v>
      </c>
      <c r="G3" s="298" t="s">
        <v>252</v>
      </c>
      <c r="H3" s="298" t="s">
        <v>711</v>
      </c>
      <c r="I3" s="298" t="s">
        <v>712</v>
      </c>
      <c r="J3" s="298" t="s">
        <v>713</v>
      </c>
      <c r="K3" s="298" t="s">
        <v>714</v>
      </c>
      <c r="L3" s="616" t="s">
        <v>253</v>
      </c>
      <c r="M3" s="625"/>
      <c r="N3" s="625"/>
      <c r="O3" s="616" t="s">
        <v>255</v>
      </c>
      <c r="P3" s="625"/>
      <c r="Q3" s="625"/>
      <c r="R3" s="626"/>
      <c r="S3" s="605" t="s">
        <v>259</v>
      </c>
      <c r="T3" s="616" t="s">
        <v>38</v>
      </c>
      <c r="U3" s="626"/>
      <c r="V3" s="616" t="s">
        <v>261</v>
      </c>
      <c r="W3" s="625"/>
      <c r="X3" s="344"/>
      <c r="Y3" s="344"/>
      <c r="Z3" s="625" t="s">
        <v>262</v>
      </c>
      <c r="AA3" s="625"/>
      <c r="AB3" s="625" t="s">
        <v>263</v>
      </c>
      <c r="AC3" s="625" t="s">
        <v>326</v>
      </c>
      <c r="AD3" s="626" t="s">
        <v>33</v>
      </c>
      <c r="AE3" s="605" t="s">
        <v>264</v>
      </c>
      <c r="AF3" s="605" t="s">
        <v>265</v>
      </c>
      <c r="AG3" s="605" t="s">
        <v>266</v>
      </c>
      <c r="AH3" s="616" t="s">
        <v>53</v>
      </c>
      <c r="AI3" s="625"/>
      <c r="AJ3" s="625"/>
      <c r="AK3" s="435" t="s">
        <v>1581</v>
      </c>
      <c r="AL3" s="435"/>
      <c r="AM3" s="436" t="s">
        <v>1442</v>
      </c>
      <c r="AN3" s="671" t="s">
        <v>1428</v>
      </c>
      <c r="AV3" s="299" t="s">
        <v>809</v>
      </c>
      <c r="BE3" s="589" t="s">
        <v>816</v>
      </c>
      <c r="BF3" s="589"/>
      <c r="BG3" s="589"/>
      <c r="BH3" s="589"/>
      <c r="BI3" s="589"/>
      <c r="BJ3" s="589"/>
      <c r="BK3" s="589" t="s">
        <v>262</v>
      </c>
      <c r="BL3" s="589"/>
      <c r="BM3" s="589"/>
      <c r="BN3" s="589"/>
      <c r="BO3" s="589"/>
      <c r="BP3" s="589"/>
      <c r="BQ3" s="93"/>
      <c r="BR3" s="589" t="s">
        <v>825</v>
      </c>
      <c r="BS3" s="589"/>
      <c r="BT3" s="589"/>
      <c r="BU3" s="589"/>
      <c r="BV3" s="589"/>
      <c r="BW3" s="589" t="s">
        <v>827</v>
      </c>
      <c r="BX3" s="589"/>
      <c r="BY3" s="589"/>
      <c r="BZ3" s="589"/>
      <c r="CA3" s="589"/>
      <c r="CB3" s="589"/>
      <c r="CC3" s="589" t="s">
        <v>826</v>
      </c>
      <c r="CD3" s="589"/>
      <c r="CE3" s="589"/>
      <c r="CF3" s="589"/>
      <c r="CG3" s="589"/>
      <c r="CH3" s="589"/>
      <c r="CI3" s="589" t="s">
        <v>833</v>
      </c>
      <c r="CJ3" s="589"/>
      <c r="CK3" s="589"/>
      <c r="CL3" s="589"/>
      <c r="CM3" s="589"/>
      <c r="CN3" s="589"/>
      <c r="CO3" s="589" t="s">
        <v>830</v>
      </c>
      <c r="CP3" s="589"/>
      <c r="CQ3" s="589"/>
      <c r="CR3" s="589"/>
      <c r="CS3" s="589"/>
      <c r="CT3" s="589"/>
      <c r="CU3" s="589" t="s">
        <v>827</v>
      </c>
      <c r="CV3" s="589"/>
      <c r="CW3" s="589"/>
      <c r="CX3" s="589"/>
      <c r="CY3" s="589"/>
      <c r="CZ3" s="589"/>
      <c r="DA3" s="93"/>
      <c r="DB3" s="589" t="s">
        <v>826</v>
      </c>
      <c r="DC3" s="589"/>
      <c r="DD3" s="589"/>
      <c r="DE3" s="589"/>
      <c r="DF3" s="589"/>
      <c r="DG3" s="589"/>
      <c r="DH3" s="589" t="s">
        <v>834</v>
      </c>
      <c r="DI3" s="589"/>
      <c r="DJ3" s="589"/>
      <c r="DK3" s="589"/>
      <c r="DL3" s="589"/>
      <c r="DM3" s="589"/>
    </row>
    <row r="4" spans="1:117" ht="47" customHeight="1" thickBot="1" x14ac:dyDescent="0.35">
      <c r="A4" s="485"/>
      <c r="B4" s="486"/>
      <c r="C4" s="404"/>
      <c r="D4" s="404"/>
      <c r="E4" s="404"/>
      <c r="F4" s="404"/>
      <c r="G4" s="404"/>
      <c r="H4" s="404"/>
      <c r="I4" s="404"/>
      <c r="J4" s="404"/>
      <c r="K4" s="404"/>
      <c r="L4" s="404" t="s">
        <v>760</v>
      </c>
      <c r="M4" s="404" t="s">
        <v>761</v>
      </c>
      <c r="N4" s="404" t="s">
        <v>762</v>
      </c>
      <c r="O4" s="404" t="s">
        <v>256</v>
      </c>
      <c r="P4" s="404" t="s">
        <v>735</v>
      </c>
      <c r="Q4" s="404" t="s">
        <v>256</v>
      </c>
      <c r="R4" s="404" t="s">
        <v>736</v>
      </c>
      <c r="S4" s="650"/>
      <c r="T4" s="404" t="s">
        <v>38</v>
      </c>
      <c r="U4" s="404" t="s">
        <v>260</v>
      </c>
      <c r="V4" s="404" t="s">
        <v>261</v>
      </c>
      <c r="W4" s="404" t="s">
        <v>260</v>
      </c>
      <c r="X4" s="404" t="s">
        <v>715</v>
      </c>
      <c r="Y4" s="404" t="s">
        <v>716</v>
      </c>
      <c r="Z4" s="404" t="s">
        <v>262</v>
      </c>
      <c r="AA4" s="404" t="s">
        <v>260</v>
      </c>
      <c r="AB4" s="683"/>
      <c r="AC4" s="683"/>
      <c r="AD4" s="684"/>
      <c r="AE4" s="650"/>
      <c r="AF4" s="681"/>
      <c r="AG4" s="650"/>
      <c r="AH4" s="404" t="s">
        <v>760</v>
      </c>
      <c r="AI4" s="404" t="s">
        <v>761</v>
      </c>
      <c r="AJ4" s="405" t="s">
        <v>762</v>
      </c>
      <c r="AK4" s="402"/>
      <c r="AL4" s="402"/>
      <c r="AM4" s="403" t="s">
        <v>37</v>
      </c>
      <c r="AN4" s="682"/>
      <c r="AV4" s="589" t="s">
        <v>810</v>
      </c>
      <c r="AW4" s="589"/>
      <c r="AX4" s="589"/>
      <c r="AY4" s="589"/>
      <c r="AZ4" s="589"/>
      <c r="BA4" s="589"/>
      <c r="BB4" s="589"/>
      <c r="BE4" s="359" t="s">
        <v>810</v>
      </c>
      <c r="BF4" s="359" t="s">
        <v>811</v>
      </c>
      <c r="BG4" s="359" t="s">
        <v>812</v>
      </c>
      <c r="BH4" s="359"/>
      <c r="BI4" s="359"/>
      <c r="BJ4" s="359" t="s">
        <v>823</v>
      </c>
      <c r="BK4" s="359" t="s">
        <v>810</v>
      </c>
      <c r="BL4" s="359" t="s">
        <v>811</v>
      </c>
      <c r="BM4" s="359" t="s">
        <v>812</v>
      </c>
      <c r="BN4" s="359"/>
      <c r="BO4" s="359"/>
      <c r="BP4" s="359" t="s">
        <v>824</v>
      </c>
      <c r="BQ4" s="359" t="s">
        <v>831</v>
      </c>
      <c r="BR4" s="359" t="s">
        <v>810</v>
      </c>
      <c r="BS4" s="359" t="s">
        <v>811</v>
      </c>
      <c r="BT4" s="359" t="s">
        <v>812</v>
      </c>
      <c r="BU4" s="359"/>
      <c r="BV4" s="359"/>
      <c r="BW4" s="359" t="s">
        <v>810</v>
      </c>
      <c r="BX4" s="359" t="s">
        <v>811</v>
      </c>
      <c r="BY4" s="359" t="s">
        <v>812</v>
      </c>
      <c r="BZ4" s="359"/>
      <c r="CA4" s="359"/>
      <c r="CB4" s="359" t="s">
        <v>52</v>
      </c>
      <c r="CC4" s="359" t="s">
        <v>810</v>
      </c>
      <c r="CD4" s="359" t="s">
        <v>811</v>
      </c>
      <c r="CE4" s="359" t="s">
        <v>812</v>
      </c>
      <c r="CF4" s="359"/>
      <c r="CG4" s="359"/>
      <c r="CH4" s="359" t="s">
        <v>52</v>
      </c>
      <c r="CI4" s="359" t="s">
        <v>810</v>
      </c>
      <c r="CJ4" s="359" t="s">
        <v>811</v>
      </c>
      <c r="CK4" s="359" t="s">
        <v>812</v>
      </c>
      <c r="CL4" s="359" t="s">
        <v>813</v>
      </c>
      <c r="CM4" s="359" t="s">
        <v>821</v>
      </c>
      <c r="CN4" s="359" t="s">
        <v>52</v>
      </c>
      <c r="CO4" s="359" t="s">
        <v>810</v>
      </c>
      <c r="CP4" s="359" t="s">
        <v>811</v>
      </c>
      <c r="CQ4" s="359" t="s">
        <v>812</v>
      </c>
      <c r="CR4" s="359"/>
      <c r="CS4" s="359"/>
      <c r="CT4" s="359" t="s">
        <v>52</v>
      </c>
      <c r="CU4" s="359" t="s">
        <v>810</v>
      </c>
      <c r="CV4" s="359" t="s">
        <v>811</v>
      </c>
      <c r="CW4" s="359" t="s">
        <v>812</v>
      </c>
      <c r="CX4" s="359"/>
      <c r="CY4" s="359"/>
      <c r="CZ4" s="359" t="s">
        <v>52</v>
      </c>
      <c r="DA4" s="359" t="s">
        <v>832</v>
      </c>
      <c r="DB4" s="359" t="s">
        <v>810</v>
      </c>
      <c r="DC4" s="359" t="s">
        <v>811</v>
      </c>
      <c r="DD4" s="359" t="s">
        <v>812</v>
      </c>
      <c r="DE4" s="359" t="s">
        <v>813</v>
      </c>
      <c r="DF4" s="359" t="s">
        <v>821</v>
      </c>
      <c r="DG4" s="359" t="s">
        <v>52</v>
      </c>
      <c r="DH4" s="359" t="s">
        <v>810</v>
      </c>
      <c r="DI4" s="359" t="s">
        <v>811</v>
      </c>
      <c r="DJ4" s="359" t="s">
        <v>812</v>
      </c>
      <c r="DK4" s="359" t="s">
        <v>813</v>
      </c>
      <c r="DL4" s="359" t="s">
        <v>821</v>
      </c>
      <c r="DM4" s="359" t="s">
        <v>52</v>
      </c>
    </row>
    <row r="5" spans="1:117" ht="35" customHeight="1" thickTop="1" x14ac:dyDescent="0.3">
      <c r="A5" s="330" t="s">
        <v>1337</v>
      </c>
      <c r="B5" s="318" t="s">
        <v>836</v>
      </c>
      <c r="C5" s="318" t="s">
        <v>55</v>
      </c>
      <c r="D5" s="318" t="s">
        <v>17</v>
      </c>
      <c r="E5" s="318" t="s">
        <v>56</v>
      </c>
      <c r="F5" s="318" t="s">
        <v>818</v>
      </c>
      <c r="G5" s="318" t="s">
        <v>1154</v>
      </c>
      <c r="H5" s="318" t="s">
        <v>1212</v>
      </c>
      <c r="I5" s="318" t="s">
        <v>1213</v>
      </c>
      <c r="J5" s="318" t="s">
        <v>1214</v>
      </c>
      <c r="K5" s="318" t="s">
        <v>1215</v>
      </c>
      <c r="L5" s="318" t="s">
        <v>12</v>
      </c>
      <c r="M5" s="318" t="s">
        <v>10</v>
      </c>
      <c r="N5" s="318" t="s">
        <v>817</v>
      </c>
      <c r="O5" s="318" t="s">
        <v>194</v>
      </c>
      <c r="P5" s="333">
        <v>2159</v>
      </c>
      <c r="Q5" s="318" t="s">
        <v>194</v>
      </c>
      <c r="R5" s="318">
        <v>46.2</v>
      </c>
      <c r="S5" s="318">
        <f>'GRC and TUL Assumptions'!E$63</f>
        <v>75</v>
      </c>
      <c r="T5" s="318">
        <v>1973</v>
      </c>
      <c r="U5" s="318" t="s">
        <v>1108</v>
      </c>
      <c r="V5" s="318">
        <f>T5</f>
        <v>1973</v>
      </c>
      <c r="W5" s="318" t="str">
        <f>U5</f>
        <v xml:space="preserve">Actual </v>
      </c>
      <c r="X5" s="318">
        <v>1992</v>
      </c>
      <c r="Y5" s="318" t="s">
        <v>801</v>
      </c>
      <c r="Z5" s="452">
        <f t="shared" ref="Z5:Z10" si="0">BP5+CT5</f>
        <v>8506685.5535110049</v>
      </c>
      <c r="AA5" s="318" t="s">
        <v>800</v>
      </c>
      <c r="AB5" s="511">
        <f t="shared" ref="AB5:AB10" si="1">CH5+DG5</f>
        <v>5716241.9600255061</v>
      </c>
      <c r="AC5" s="516">
        <f t="shared" ref="AC5:AC10" si="2">Z5-AB5</f>
        <v>2790443.5934854988</v>
      </c>
      <c r="AD5" s="511">
        <f t="shared" ref="AD5:AD10" si="3">CN5+DM5</f>
        <v>13069.993412110067</v>
      </c>
      <c r="AE5" s="516">
        <f t="shared" ref="AE5:AE10" si="4">AC5-AD5</f>
        <v>2777373.6000733888</v>
      </c>
      <c r="AF5" s="511">
        <f>HLOOKUP($C$1,'Inflation Adjustments'!$BI$3:$BT$4,2)*BJ5</f>
        <v>46158294.715706244</v>
      </c>
      <c r="AG5" s="511">
        <f>IF(AN5="In Service",'Maintenace Cost Assumptions'!B5*(BG5),0)</f>
        <v>99745.8</v>
      </c>
      <c r="AH5" s="313">
        <v>4</v>
      </c>
      <c r="AI5" s="313">
        <v>3</v>
      </c>
      <c r="AJ5" s="313">
        <v>1</v>
      </c>
      <c r="AK5" s="313">
        <v>3</v>
      </c>
      <c r="AL5" s="318"/>
      <c r="AM5" s="319">
        <f>(AH5*'Condition rating weights'!H$32+AI5*'Condition rating weights'!I$32+AJ5*'Condition rating weights'!J$32+AK5*'Condition rating weights'!R$32+AL5*'Condition rating weights'!S$32)/100</f>
        <v>0.46</v>
      </c>
      <c r="AN5" s="454" t="s">
        <v>1430</v>
      </c>
      <c r="AP5" s="91" t="s">
        <v>1631</v>
      </c>
      <c r="AV5" s="447"/>
      <c r="AW5" s="447"/>
      <c r="AX5" s="447" t="str">
        <f>'GRC and TUL Assumptions'!F24</f>
        <v>Flat</v>
      </c>
      <c r="AZ5" s="91" t="s">
        <v>12</v>
      </c>
      <c r="BD5" s="91" t="str">
        <f t="shared" ref="BD5:BD10" si="5">A5</f>
        <v>ASCA-001</v>
      </c>
      <c r="BE5" s="340">
        <f t="shared" ref="BE5:BE10" si="6">$P5*$R5*AX$6</f>
        <v>14961870</v>
      </c>
      <c r="BF5" s="340">
        <f t="shared" ref="BF5:BF10" si="7">$P5*$R5*AX$9</f>
        <v>5984748</v>
      </c>
      <c r="BG5" s="340">
        <f t="shared" ref="BG5:BG10" si="8">$P5*$R5*AX$12</f>
        <v>9974580</v>
      </c>
      <c r="BH5" s="340"/>
      <c r="BI5" s="340"/>
      <c r="BJ5" s="341">
        <f t="shared" ref="BJ5:BJ10" si="9">SUM(BE5:BI5)</f>
        <v>30921198</v>
      </c>
      <c r="BK5" s="341">
        <f>(HLOOKUP($V5,'Inflation Adjustments'!$B$3:$BT$4,2,TRUE))*BE5</f>
        <v>2450623.7647706373</v>
      </c>
      <c r="BL5" s="341">
        <f>(HLOOKUP($V5,'Inflation Adjustments'!$M$3:$BT$4,2,TRUE))*BF5</f>
        <v>980249.505908255</v>
      </c>
      <c r="BM5" s="341">
        <f>(HLOOKUP($V5,'Inflation Adjustments'!$M$3:$BT$4,2,TRUE))*BG5</f>
        <v>1633749.1765137583</v>
      </c>
      <c r="BN5" s="341"/>
      <c r="BO5" s="341"/>
      <c r="BP5" s="341">
        <f t="shared" ref="BP5:BP10" si="10">SUM(BK5:BO5)</f>
        <v>5064622.4471926503</v>
      </c>
      <c r="BQ5" s="448">
        <f t="shared" ref="BQ5:BQ10" si="11">$C$1-V5-1</f>
        <v>49</v>
      </c>
      <c r="BR5" s="93" t="s">
        <v>179</v>
      </c>
      <c r="BS5" s="448">
        <f t="shared" ref="BS5:BS10" si="12">AZ$9</f>
        <v>75</v>
      </c>
      <c r="BT5" s="448">
        <f t="shared" ref="BT5:BT10" si="13">AZ$12</f>
        <v>25</v>
      </c>
      <c r="BU5" s="448"/>
      <c r="BV5" s="93"/>
      <c r="BW5" s="449">
        <v>0</v>
      </c>
      <c r="BX5" s="340">
        <f t="shared" ref="BX5:BX10" si="14">1/BS5*BL5</f>
        <v>13069.993412110067</v>
      </c>
      <c r="BY5" s="340">
        <f t="shared" ref="BY5" si="15">1/BT5*BM5</f>
        <v>65349.967060550334</v>
      </c>
      <c r="BZ5" s="340"/>
      <c r="CA5" s="340"/>
      <c r="CB5" s="340">
        <f t="shared" ref="CB5:CB10" si="16">SUM(BW5:CA5)</f>
        <v>78419.960472660401</v>
      </c>
      <c r="CC5" s="449">
        <v>0</v>
      </c>
      <c r="CD5" s="340">
        <f t="shared" ref="CD5:CE10" si="17">IF(BX5*$BQ5&gt;BL5,BL5,BX5*$BQ5)</f>
        <v>640429.67719339323</v>
      </c>
      <c r="CE5" s="340">
        <f t="shared" si="17"/>
        <v>1633749.1765137583</v>
      </c>
      <c r="CF5" s="340"/>
      <c r="CG5" s="340"/>
      <c r="CH5" s="341">
        <f t="shared" ref="CH5:CH10" si="18">SUM(CC5:CG5)</f>
        <v>2274178.8537071515</v>
      </c>
      <c r="CI5" s="449">
        <v>0</v>
      </c>
      <c r="CJ5" s="340">
        <f t="shared" ref="CJ5:CK10" si="19">IF(BX5&lt;(BL5-CD5),BX5,(BL5-CD5))</f>
        <v>13069.993412110067</v>
      </c>
      <c r="CK5" s="340">
        <f t="shared" si="19"/>
        <v>0</v>
      </c>
      <c r="CL5" s="340">
        <f t="shared" ref="CL5:CM5" si="20">IF(BZ5&lt;(BN5-CF5),BZ5,(BN5-CF5))</f>
        <v>0</v>
      </c>
      <c r="CM5" s="340">
        <f t="shared" si="20"/>
        <v>0</v>
      </c>
      <c r="CN5" s="341">
        <f t="shared" ref="CN5:CN10" si="21">SUM(CI5:CM5)</f>
        <v>13069.993412110067</v>
      </c>
      <c r="CO5" s="449">
        <v>0</v>
      </c>
      <c r="CP5" s="449">
        <v>0</v>
      </c>
      <c r="CQ5" s="341">
        <f>(HLOOKUP($X5,'Inflation Adjustments'!$M$3:$BT$4,2,TRUE))*BG5</f>
        <v>3442063.1063183541</v>
      </c>
      <c r="CR5" s="449">
        <v>0</v>
      </c>
      <c r="CS5" s="449">
        <v>0</v>
      </c>
      <c r="CT5" s="341">
        <f t="shared" ref="CT5:CT10" si="22">SUM(CO5:CS5)</f>
        <v>3442063.1063183541</v>
      </c>
      <c r="CU5" s="450">
        <v>0</v>
      </c>
      <c r="CV5" s="450">
        <v>0</v>
      </c>
      <c r="CW5" s="340">
        <f t="shared" ref="CW5:CW10" si="23">1/BT5*CQ5</f>
        <v>137682.52425273418</v>
      </c>
      <c r="CX5" s="450">
        <v>0</v>
      </c>
      <c r="CY5" s="450">
        <v>0</v>
      </c>
      <c r="CZ5" s="341">
        <f t="shared" ref="CZ5:CZ10" si="24">SUM(CU5:CY5)</f>
        <v>137682.52425273418</v>
      </c>
      <c r="DA5" s="91">
        <f t="shared" ref="DA5:DA10" si="25">$C$1-X5</f>
        <v>31</v>
      </c>
      <c r="DB5" s="450">
        <v>0</v>
      </c>
      <c r="DC5" s="450">
        <v>0</v>
      </c>
      <c r="DD5" s="340">
        <f t="shared" ref="DD5:DD10" si="26">IF(CW5*$DA5&gt;CT5,CT5,C5*$DA5)</f>
        <v>3442063.1063183541</v>
      </c>
      <c r="DE5" s="450">
        <v>0</v>
      </c>
      <c r="DF5" s="450">
        <v>0</v>
      </c>
      <c r="DG5" s="341">
        <f t="shared" ref="DG5:DG10" si="27">SUM(DB5:DF5)</f>
        <v>3442063.1063183541</v>
      </c>
      <c r="DH5" s="450">
        <v>0</v>
      </c>
      <c r="DI5" s="450">
        <v>0</v>
      </c>
      <c r="DJ5" s="449">
        <f t="shared" ref="DJ5:DJ10" si="28">IF(CW5&lt;(CT5-DG5),CW5,(CT5-DG5))</f>
        <v>0</v>
      </c>
      <c r="DK5" s="449">
        <v>0</v>
      </c>
      <c r="DL5" s="449">
        <v>0</v>
      </c>
      <c r="DM5" s="450">
        <f t="shared" ref="DM5:DM10" si="29">SUM(DH5:DL5)</f>
        <v>0</v>
      </c>
    </row>
    <row r="6" spans="1:117" ht="35" customHeight="1" x14ac:dyDescent="0.3">
      <c r="A6" s="330" t="s">
        <v>1338</v>
      </c>
      <c r="B6" s="318" t="s">
        <v>1163</v>
      </c>
      <c r="C6" s="318" t="s">
        <v>55</v>
      </c>
      <c r="D6" s="318" t="s">
        <v>17</v>
      </c>
      <c r="E6" s="318" t="s">
        <v>56</v>
      </c>
      <c r="F6" s="318" t="s">
        <v>818</v>
      </c>
      <c r="G6" s="318" t="s">
        <v>1161</v>
      </c>
      <c r="H6" s="318" t="s">
        <v>1212</v>
      </c>
      <c r="I6" s="318" t="s">
        <v>1213</v>
      </c>
      <c r="J6" s="318" t="s">
        <v>1212</v>
      </c>
      <c r="K6" s="318" t="s">
        <v>1213</v>
      </c>
      <c r="L6" s="318" t="s">
        <v>12</v>
      </c>
      <c r="M6" s="318" t="s">
        <v>10</v>
      </c>
      <c r="N6" s="318" t="s">
        <v>817</v>
      </c>
      <c r="O6" s="318" t="s">
        <v>194</v>
      </c>
      <c r="P6" s="333">
        <v>44.3</v>
      </c>
      <c r="Q6" s="318" t="s">
        <v>194</v>
      </c>
      <c r="R6" s="318">
        <v>24.7</v>
      </c>
      <c r="S6" s="318">
        <f>'GRC and TUL Assumptions'!E$63</f>
        <v>75</v>
      </c>
      <c r="T6" s="318">
        <v>1973</v>
      </c>
      <c r="U6" s="318" t="s">
        <v>1108</v>
      </c>
      <c r="V6" s="318">
        <f>T6</f>
        <v>1973</v>
      </c>
      <c r="W6" s="318" t="str">
        <f>U6</f>
        <v xml:space="preserve">Actual </v>
      </c>
      <c r="X6" s="318">
        <v>1992</v>
      </c>
      <c r="Y6" s="318" t="s">
        <v>801</v>
      </c>
      <c r="Z6" s="452">
        <f t="shared" si="0"/>
        <v>93318.218907535702</v>
      </c>
      <c r="AA6" s="318" t="s">
        <v>800</v>
      </c>
      <c r="AB6" s="511">
        <f t="shared" si="1"/>
        <v>62707.092580133773</v>
      </c>
      <c r="AC6" s="516">
        <f t="shared" si="2"/>
        <v>30611.126327401929</v>
      </c>
      <c r="AD6" s="511">
        <f t="shared" si="3"/>
        <v>143.37764087776083</v>
      </c>
      <c r="AE6" s="516">
        <f t="shared" si="4"/>
        <v>30467.74868652417</v>
      </c>
      <c r="AF6" s="511">
        <f>HLOOKUP($C$1,'Inflation Adjustments'!$BI$3:$BT$4,2)*BJ6</f>
        <v>506355.83313656243</v>
      </c>
      <c r="AG6" s="511">
        <f>IF(AN6="In Service",'Maintenace Cost Assumptions'!B6*(BG6),0)</f>
        <v>2188.4199999999996</v>
      </c>
      <c r="AH6" s="318">
        <v>4</v>
      </c>
      <c r="AI6" s="318">
        <v>3</v>
      </c>
      <c r="AJ6" s="318">
        <v>1</v>
      </c>
      <c r="AK6" s="318">
        <v>3</v>
      </c>
      <c r="AL6" s="318"/>
      <c r="AM6" s="332">
        <f>(AH6*'Condition rating weights'!H$32+AI6*'Condition rating weights'!I$32+AJ6*'Condition rating weights'!J$32+AK6*'Condition rating weights'!R$32+AL6*'Condition rating weights'!S$32)/100</f>
        <v>0.46</v>
      </c>
      <c r="AN6" s="454" t="s">
        <v>1430</v>
      </c>
      <c r="AX6" s="91">
        <f>'GRC and TUL Assumptions'!C60</f>
        <v>150</v>
      </c>
      <c r="AZ6" s="447" t="str">
        <f>'GRC and TUL Assumptions'!E60</f>
        <v>N/A</v>
      </c>
      <c r="BA6" s="447"/>
      <c r="BB6" s="447"/>
      <c r="BD6" s="91" t="str">
        <f t="shared" si="5"/>
        <v>ASCA-002</v>
      </c>
      <c r="BE6" s="340">
        <f t="shared" si="6"/>
        <v>164131.49999999997</v>
      </c>
      <c r="BF6" s="340">
        <f t="shared" si="7"/>
        <v>65652.599999999991</v>
      </c>
      <c r="BG6" s="340">
        <f t="shared" si="8"/>
        <v>109420.99999999999</v>
      </c>
      <c r="BH6" s="340"/>
      <c r="BI6" s="340"/>
      <c r="BJ6" s="341">
        <f t="shared" si="9"/>
        <v>339205.1</v>
      </c>
      <c r="BK6" s="341">
        <f>(HLOOKUP($V6,'Inflation Adjustments'!$B$3:$BT$4,2,TRUE))*BE6</f>
        <v>26883.307664580148</v>
      </c>
      <c r="BL6" s="341">
        <f>(HLOOKUP($V6,'Inflation Adjustments'!$M$3:$BT$4,2,TRUE))*BF6</f>
        <v>10753.323065832061</v>
      </c>
      <c r="BM6" s="341">
        <f>(HLOOKUP($V6,'Inflation Adjustments'!$M$3:$BT$4,2,TRUE))*BG6</f>
        <v>17922.2051097201</v>
      </c>
      <c r="BN6" s="341"/>
      <c r="BO6" s="341"/>
      <c r="BP6" s="341">
        <f t="shared" si="10"/>
        <v>55558.835840132306</v>
      </c>
      <c r="BQ6" s="448">
        <f t="shared" si="11"/>
        <v>49</v>
      </c>
      <c r="BR6" s="93" t="s">
        <v>179</v>
      </c>
      <c r="BS6" s="448">
        <f t="shared" si="12"/>
        <v>75</v>
      </c>
      <c r="BT6" s="448">
        <f t="shared" si="13"/>
        <v>25</v>
      </c>
      <c r="BU6" s="448"/>
      <c r="BV6" s="93"/>
      <c r="BW6" s="449">
        <v>0</v>
      </c>
      <c r="BX6" s="340">
        <f t="shared" si="14"/>
        <v>143.37764087776083</v>
      </c>
      <c r="BY6" s="340">
        <f>1/BT6*BM6</f>
        <v>716.88820438880407</v>
      </c>
      <c r="BZ6" s="340"/>
      <c r="CA6" s="340"/>
      <c r="CB6" s="340">
        <f t="shared" si="16"/>
        <v>860.26584526656484</v>
      </c>
      <c r="CC6" s="449">
        <v>0</v>
      </c>
      <c r="CD6" s="340">
        <f t="shared" si="17"/>
        <v>7025.5044030102808</v>
      </c>
      <c r="CE6" s="340">
        <f t="shared" si="17"/>
        <v>17922.2051097201</v>
      </c>
      <c r="CF6" s="340"/>
      <c r="CG6" s="340"/>
      <c r="CH6" s="341">
        <f t="shared" si="18"/>
        <v>24947.70951273038</v>
      </c>
      <c r="CI6" s="449">
        <v>0</v>
      </c>
      <c r="CJ6" s="340">
        <f t="shared" si="19"/>
        <v>143.37764087776083</v>
      </c>
      <c r="CK6" s="340">
        <f t="shared" si="19"/>
        <v>0</v>
      </c>
      <c r="CL6" s="340">
        <f t="shared" ref="CL6:CM10" si="30">IF(BZ6&lt;(BN6-CF6),BZ6,(BN6-CF6))</f>
        <v>0</v>
      </c>
      <c r="CM6" s="340">
        <f t="shared" si="30"/>
        <v>0</v>
      </c>
      <c r="CN6" s="341">
        <f t="shared" si="21"/>
        <v>143.37764087776083</v>
      </c>
      <c r="CO6" s="449">
        <v>0</v>
      </c>
      <c r="CP6" s="449">
        <v>0</v>
      </c>
      <c r="CQ6" s="341">
        <f>(HLOOKUP($X6,'Inflation Adjustments'!$M$3:$BT$4,2,TRUE))*BG6</f>
        <v>37759.383067403396</v>
      </c>
      <c r="CR6" s="449">
        <v>0</v>
      </c>
      <c r="CS6" s="449">
        <v>0</v>
      </c>
      <c r="CT6" s="341">
        <f t="shared" si="22"/>
        <v>37759.383067403396</v>
      </c>
      <c r="CU6" s="450">
        <v>0</v>
      </c>
      <c r="CV6" s="450">
        <v>0</v>
      </c>
      <c r="CW6" s="340">
        <f t="shared" si="23"/>
        <v>1510.375322696136</v>
      </c>
      <c r="CX6" s="450">
        <v>0</v>
      </c>
      <c r="CY6" s="450">
        <v>0</v>
      </c>
      <c r="CZ6" s="341">
        <f t="shared" si="24"/>
        <v>1510.375322696136</v>
      </c>
      <c r="DA6" s="91">
        <f t="shared" si="25"/>
        <v>31</v>
      </c>
      <c r="DB6" s="450">
        <v>0</v>
      </c>
      <c r="DC6" s="450">
        <v>0</v>
      </c>
      <c r="DD6" s="340">
        <f t="shared" si="26"/>
        <v>37759.383067403396</v>
      </c>
      <c r="DE6" s="450">
        <v>0</v>
      </c>
      <c r="DF6" s="450">
        <v>0</v>
      </c>
      <c r="DG6" s="341">
        <f t="shared" si="27"/>
        <v>37759.383067403396</v>
      </c>
      <c r="DH6" s="450">
        <v>0</v>
      </c>
      <c r="DI6" s="450">
        <v>0</v>
      </c>
      <c r="DJ6" s="449">
        <f t="shared" si="28"/>
        <v>0</v>
      </c>
      <c r="DK6" s="449">
        <v>0</v>
      </c>
      <c r="DL6" s="449">
        <v>0</v>
      </c>
      <c r="DM6" s="450">
        <f t="shared" si="29"/>
        <v>0</v>
      </c>
    </row>
    <row r="7" spans="1:117" ht="35" customHeight="1" x14ac:dyDescent="0.3">
      <c r="A7" s="330" t="s">
        <v>1339</v>
      </c>
      <c r="B7" s="318" t="s">
        <v>1162</v>
      </c>
      <c r="C7" s="318" t="s">
        <v>55</v>
      </c>
      <c r="D7" s="318" t="s">
        <v>17</v>
      </c>
      <c r="E7" s="318" t="s">
        <v>56</v>
      </c>
      <c r="F7" s="318" t="s">
        <v>818</v>
      </c>
      <c r="G7" s="318" t="s">
        <v>724</v>
      </c>
      <c r="H7" s="318" t="s">
        <v>1214</v>
      </c>
      <c r="I7" s="318" t="s">
        <v>1215</v>
      </c>
      <c r="J7" s="318" t="s">
        <v>1214</v>
      </c>
      <c r="K7" s="318" t="s">
        <v>1215</v>
      </c>
      <c r="L7" s="318" t="s">
        <v>12</v>
      </c>
      <c r="M7" s="318" t="s">
        <v>10</v>
      </c>
      <c r="N7" s="318" t="s">
        <v>817</v>
      </c>
      <c r="O7" s="318" t="s">
        <v>194</v>
      </c>
      <c r="P7" s="333">
        <v>44.3</v>
      </c>
      <c r="Q7" s="318" t="s">
        <v>194</v>
      </c>
      <c r="R7" s="318">
        <v>24.7</v>
      </c>
      <c r="S7" s="318">
        <f>'GRC and TUL Assumptions'!E$63</f>
        <v>75</v>
      </c>
      <c r="T7" s="318">
        <v>1973</v>
      </c>
      <c r="U7" s="318" t="s">
        <v>1108</v>
      </c>
      <c r="V7" s="318">
        <f t="shared" ref="V7:V10" si="31">T7</f>
        <v>1973</v>
      </c>
      <c r="W7" s="318" t="str">
        <f t="shared" ref="W7:W10" si="32">U7</f>
        <v xml:space="preserve">Actual </v>
      </c>
      <c r="X7" s="318">
        <v>1992</v>
      </c>
      <c r="Y7" s="318" t="s">
        <v>801</v>
      </c>
      <c r="Z7" s="452">
        <f t="shared" si="0"/>
        <v>93318.218907535702</v>
      </c>
      <c r="AA7" s="318" t="s">
        <v>800</v>
      </c>
      <c r="AB7" s="511">
        <f t="shared" si="1"/>
        <v>62707.092580133773</v>
      </c>
      <c r="AC7" s="516">
        <f t="shared" si="2"/>
        <v>30611.126327401929</v>
      </c>
      <c r="AD7" s="511">
        <f t="shared" si="3"/>
        <v>143.37764087776083</v>
      </c>
      <c r="AE7" s="516">
        <f t="shared" si="4"/>
        <v>30467.74868652417</v>
      </c>
      <c r="AF7" s="511">
        <f>HLOOKUP($C$1,'Inflation Adjustments'!$BI$3:$BT$4,2)*BJ7</f>
        <v>506355.83313656243</v>
      </c>
      <c r="AG7" s="511">
        <f>IF(AN7="In Service",'Maintenace Cost Assumptions'!B7*(BG7),0)</f>
        <v>3282.6299999999997</v>
      </c>
      <c r="AH7" s="318">
        <v>4</v>
      </c>
      <c r="AI7" s="318">
        <v>3</v>
      </c>
      <c r="AJ7" s="318">
        <v>1</v>
      </c>
      <c r="AK7" s="318">
        <v>3</v>
      </c>
      <c r="AL7" s="318"/>
      <c r="AM7" s="332">
        <f>(AH7*'Condition rating weights'!H$32+AI7*'Condition rating weights'!I$32+AJ7*'Condition rating weights'!J$32+AK7*'Condition rating weights'!R$32+AL7*'Condition rating weights'!S$32)/100</f>
        <v>0.46</v>
      </c>
      <c r="AN7" s="454" t="s">
        <v>1430</v>
      </c>
      <c r="AV7" s="589" t="s">
        <v>811</v>
      </c>
      <c r="AW7" s="589"/>
      <c r="AX7" s="589"/>
      <c r="AY7" s="589"/>
      <c r="AZ7" s="589"/>
      <c r="BA7" s="589"/>
      <c r="BB7" s="589"/>
      <c r="BD7" s="91" t="str">
        <f t="shared" si="5"/>
        <v>ASCA-003</v>
      </c>
      <c r="BE7" s="340">
        <f t="shared" si="6"/>
        <v>164131.49999999997</v>
      </c>
      <c r="BF7" s="340">
        <f t="shared" si="7"/>
        <v>65652.599999999991</v>
      </c>
      <c r="BG7" s="340">
        <f t="shared" si="8"/>
        <v>109420.99999999999</v>
      </c>
      <c r="BH7" s="340"/>
      <c r="BI7" s="340"/>
      <c r="BJ7" s="341">
        <f t="shared" si="9"/>
        <v>339205.1</v>
      </c>
      <c r="BK7" s="341">
        <f>(HLOOKUP($V7,'Inflation Adjustments'!$B$3:$BT$4,2,TRUE))*BE7</f>
        <v>26883.307664580148</v>
      </c>
      <c r="BL7" s="341">
        <f>(HLOOKUP($V7,'Inflation Adjustments'!$M$3:$BT$4,2,TRUE))*BF7</f>
        <v>10753.323065832061</v>
      </c>
      <c r="BM7" s="341">
        <f>(HLOOKUP($V7,'Inflation Adjustments'!$M$3:$BT$4,2,TRUE))*BG7</f>
        <v>17922.2051097201</v>
      </c>
      <c r="BN7" s="341"/>
      <c r="BO7" s="341"/>
      <c r="BP7" s="341">
        <f t="shared" si="10"/>
        <v>55558.835840132306</v>
      </c>
      <c r="BQ7" s="448">
        <f t="shared" si="11"/>
        <v>49</v>
      </c>
      <c r="BR7" s="93" t="s">
        <v>179</v>
      </c>
      <c r="BS7" s="448">
        <f t="shared" si="12"/>
        <v>75</v>
      </c>
      <c r="BT7" s="448">
        <f t="shared" si="13"/>
        <v>25</v>
      </c>
      <c r="BU7" s="448"/>
      <c r="BV7" s="93"/>
      <c r="BW7" s="449">
        <v>0</v>
      </c>
      <c r="BX7" s="340">
        <f t="shared" si="14"/>
        <v>143.37764087776083</v>
      </c>
      <c r="BY7" s="340">
        <f>1/BT7*BM7</f>
        <v>716.88820438880407</v>
      </c>
      <c r="BZ7" s="340"/>
      <c r="CA7" s="340"/>
      <c r="CB7" s="340">
        <f t="shared" si="16"/>
        <v>860.26584526656484</v>
      </c>
      <c r="CC7" s="449">
        <v>0</v>
      </c>
      <c r="CD7" s="340">
        <f t="shared" si="17"/>
        <v>7025.5044030102808</v>
      </c>
      <c r="CE7" s="340">
        <f t="shared" si="17"/>
        <v>17922.2051097201</v>
      </c>
      <c r="CF7" s="340"/>
      <c r="CG7" s="340"/>
      <c r="CH7" s="341">
        <f t="shared" si="18"/>
        <v>24947.70951273038</v>
      </c>
      <c r="CI7" s="449">
        <v>0</v>
      </c>
      <c r="CJ7" s="340">
        <f t="shared" si="19"/>
        <v>143.37764087776083</v>
      </c>
      <c r="CK7" s="340">
        <f t="shared" si="19"/>
        <v>0</v>
      </c>
      <c r="CL7" s="340">
        <f t="shared" si="30"/>
        <v>0</v>
      </c>
      <c r="CM7" s="340">
        <f t="shared" si="30"/>
        <v>0</v>
      </c>
      <c r="CN7" s="341">
        <f t="shared" si="21"/>
        <v>143.37764087776083</v>
      </c>
      <c r="CO7" s="449">
        <v>0</v>
      </c>
      <c r="CP7" s="449">
        <v>0</v>
      </c>
      <c r="CQ7" s="341">
        <f>(HLOOKUP($X7,'Inflation Adjustments'!$M$3:$BT$4,2,TRUE))*BG7</f>
        <v>37759.383067403396</v>
      </c>
      <c r="CR7" s="449">
        <v>0</v>
      </c>
      <c r="CS7" s="449">
        <v>0</v>
      </c>
      <c r="CT7" s="341">
        <f t="shared" si="22"/>
        <v>37759.383067403396</v>
      </c>
      <c r="CU7" s="450">
        <v>0</v>
      </c>
      <c r="CV7" s="450">
        <v>0</v>
      </c>
      <c r="CW7" s="340">
        <f t="shared" si="23"/>
        <v>1510.375322696136</v>
      </c>
      <c r="CX7" s="450">
        <v>0</v>
      </c>
      <c r="CY7" s="450">
        <v>0</v>
      </c>
      <c r="CZ7" s="341">
        <f t="shared" si="24"/>
        <v>1510.375322696136</v>
      </c>
      <c r="DA7" s="91">
        <f t="shared" si="25"/>
        <v>31</v>
      </c>
      <c r="DB7" s="450">
        <v>0</v>
      </c>
      <c r="DC7" s="450">
        <v>0</v>
      </c>
      <c r="DD7" s="340">
        <f t="shared" si="26"/>
        <v>37759.383067403396</v>
      </c>
      <c r="DE7" s="450">
        <v>0</v>
      </c>
      <c r="DF7" s="450">
        <v>0</v>
      </c>
      <c r="DG7" s="341">
        <f t="shared" si="27"/>
        <v>37759.383067403396</v>
      </c>
      <c r="DH7" s="450">
        <v>0</v>
      </c>
      <c r="DI7" s="450">
        <v>0</v>
      </c>
      <c r="DJ7" s="449">
        <f t="shared" si="28"/>
        <v>0</v>
      </c>
      <c r="DK7" s="449">
        <v>0</v>
      </c>
      <c r="DL7" s="449">
        <v>0</v>
      </c>
      <c r="DM7" s="450">
        <f t="shared" si="29"/>
        <v>0</v>
      </c>
    </row>
    <row r="8" spans="1:117" ht="35" customHeight="1" x14ac:dyDescent="0.3">
      <c r="A8" s="330" t="s">
        <v>1340</v>
      </c>
      <c r="B8" s="318" t="s">
        <v>1164</v>
      </c>
      <c r="C8" s="318" t="s">
        <v>55</v>
      </c>
      <c r="D8" s="318" t="s">
        <v>17</v>
      </c>
      <c r="E8" s="318" t="s">
        <v>56</v>
      </c>
      <c r="F8" s="318" t="s">
        <v>818</v>
      </c>
      <c r="G8" s="318" t="s">
        <v>724</v>
      </c>
      <c r="H8" s="318" t="s">
        <v>984</v>
      </c>
      <c r="I8" s="318" t="s">
        <v>1216</v>
      </c>
      <c r="J8" s="318" t="s">
        <v>1217</v>
      </c>
      <c r="K8" s="318" t="s">
        <v>1218</v>
      </c>
      <c r="L8" s="318" t="s">
        <v>12</v>
      </c>
      <c r="M8" s="318" t="s">
        <v>10</v>
      </c>
      <c r="N8" s="318" t="s">
        <v>817</v>
      </c>
      <c r="O8" s="318" t="s">
        <v>194</v>
      </c>
      <c r="P8" s="333">
        <v>54.25</v>
      </c>
      <c r="Q8" s="318" t="s">
        <v>194</v>
      </c>
      <c r="R8" s="318">
        <v>23.6</v>
      </c>
      <c r="S8" s="318">
        <f>'GRC and TUL Assumptions'!E$63</f>
        <v>75</v>
      </c>
      <c r="T8" s="318">
        <v>1973</v>
      </c>
      <c r="U8" s="318" t="s">
        <v>1108</v>
      </c>
      <c r="V8" s="318">
        <f t="shared" si="31"/>
        <v>1973</v>
      </c>
      <c r="W8" s="318" t="str">
        <f t="shared" si="32"/>
        <v xml:space="preserve">Actual </v>
      </c>
      <c r="X8" s="318">
        <v>1992</v>
      </c>
      <c r="Y8" s="318" t="s">
        <v>801</v>
      </c>
      <c r="Z8" s="452">
        <f t="shared" si="0"/>
        <v>109188.65269675656</v>
      </c>
      <c r="AA8" s="318" t="s">
        <v>800</v>
      </c>
      <c r="AB8" s="511">
        <f t="shared" si="1"/>
        <v>73371.556310347456</v>
      </c>
      <c r="AC8" s="516">
        <f t="shared" si="2"/>
        <v>35817.096386409103</v>
      </c>
      <c r="AD8" s="511">
        <f t="shared" si="3"/>
        <v>167.7615755803705</v>
      </c>
      <c r="AE8" s="516">
        <f t="shared" si="4"/>
        <v>35649.334810828732</v>
      </c>
      <c r="AF8" s="511">
        <f>HLOOKUP($C$1,'Inflation Adjustments'!$BI$3:$BT$4,2)*BJ8</f>
        <v>592470.70778437506</v>
      </c>
      <c r="AG8" s="511">
        <f>IF(AN8="In Service",'Maintenace Cost Assumptions'!B8*(BG8),0)</f>
        <v>3840.9</v>
      </c>
      <c r="AH8" s="318">
        <v>4</v>
      </c>
      <c r="AI8" s="318">
        <v>3</v>
      </c>
      <c r="AJ8" s="318">
        <v>1</v>
      </c>
      <c r="AK8" s="318">
        <v>3</v>
      </c>
      <c r="AL8" s="318"/>
      <c r="AM8" s="332">
        <f>(AH8*'Condition rating weights'!H$32+AI8*'Condition rating weights'!I$32+AJ8*'Condition rating weights'!J$32+AK8*'Condition rating weights'!R$32+AL8*'Condition rating weights'!S$32)/100</f>
        <v>0.46</v>
      </c>
      <c r="AN8" s="454" t="s">
        <v>1430</v>
      </c>
      <c r="AV8" s="447"/>
      <c r="AW8" s="447"/>
      <c r="AX8" s="475" t="str">
        <f>'AR-Hierarchy '!$J112</f>
        <v>Heavy Duty</v>
      </c>
      <c r="AZ8" s="475" t="str">
        <f>AX8</f>
        <v>Heavy Duty</v>
      </c>
      <c r="BA8" s="447"/>
      <c r="BB8" s="360"/>
      <c r="BD8" s="91" t="str">
        <f t="shared" si="5"/>
        <v>ASCA-004</v>
      </c>
      <c r="BE8" s="340">
        <f t="shared" si="6"/>
        <v>192045.00000000003</v>
      </c>
      <c r="BF8" s="340">
        <f t="shared" si="7"/>
        <v>76818.000000000015</v>
      </c>
      <c r="BG8" s="340">
        <f t="shared" si="8"/>
        <v>128030.00000000001</v>
      </c>
      <c r="BH8" s="340"/>
      <c r="BI8" s="340"/>
      <c r="BJ8" s="341">
        <f t="shared" si="9"/>
        <v>396893.00000000006</v>
      </c>
      <c r="BK8" s="341">
        <f>(HLOOKUP($V8,'Inflation Adjustments'!$B$3:$BT$4,2,TRUE))*BE8</f>
        <v>31455.295421319468</v>
      </c>
      <c r="BL8" s="341">
        <f>(HLOOKUP($V8,'Inflation Adjustments'!$M$3:$BT$4,2,TRUE))*BF8</f>
        <v>12582.118168527788</v>
      </c>
      <c r="BM8" s="341">
        <f>(HLOOKUP($V8,'Inflation Adjustments'!$M$3:$BT$4,2,TRUE))*BG8</f>
        <v>20970.196947546312</v>
      </c>
      <c r="BN8" s="341"/>
      <c r="BO8" s="341"/>
      <c r="BP8" s="341">
        <f t="shared" si="10"/>
        <v>65007.610537393572</v>
      </c>
      <c r="BQ8" s="448">
        <f t="shared" si="11"/>
        <v>49</v>
      </c>
      <c r="BR8" s="93" t="s">
        <v>179</v>
      </c>
      <c r="BS8" s="448">
        <f t="shared" si="12"/>
        <v>75</v>
      </c>
      <c r="BT8" s="448">
        <f t="shared" si="13"/>
        <v>25</v>
      </c>
      <c r="BU8" s="448"/>
      <c r="BV8" s="93"/>
      <c r="BW8" s="449">
        <v>0</v>
      </c>
      <c r="BX8" s="340">
        <f t="shared" si="14"/>
        <v>167.7615755803705</v>
      </c>
      <c r="BY8" s="340">
        <f>1/BT8*BM8</f>
        <v>838.80787790185252</v>
      </c>
      <c r="BZ8" s="340"/>
      <c r="CA8" s="340"/>
      <c r="CB8" s="340">
        <f t="shared" si="16"/>
        <v>1006.569453482223</v>
      </c>
      <c r="CC8" s="449">
        <v>0</v>
      </c>
      <c r="CD8" s="340">
        <f t="shared" si="17"/>
        <v>8220.317203438155</v>
      </c>
      <c r="CE8" s="340">
        <f t="shared" si="17"/>
        <v>20970.196947546312</v>
      </c>
      <c r="CF8" s="340"/>
      <c r="CG8" s="340"/>
      <c r="CH8" s="341">
        <f t="shared" si="18"/>
        <v>29190.514150984469</v>
      </c>
      <c r="CI8" s="449">
        <v>0</v>
      </c>
      <c r="CJ8" s="340">
        <f t="shared" si="19"/>
        <v>167.7615755803705</v>
      </c>
      <c r="CK8" s="340">
        <f t="shared" si="19"/>
        <v>0</v>
      </c>
      <c r="CL8" s="340">
        <f t="shared" si="30"/>
        <v>0</v>
      </c>
      <c r="CM8" s="340">
        <f t="shared" si="30"/>
        <v>0</v>
      </c>
      <c r="CN8" s="341">
        <f t="shared" si="21"/>
        <v>167.7615755803705</v>
      </c>
      <c r="CO8" s="449">
        <v>0</v>
      </c>
      <c r="CP8" s="449">
        <v>0</v>
      </c>
      <c r="CQ8" s="341">
        <f>(HLOOKUP($X8,'Inflation Adjustments'!$M$3:$BT$4,2,TRUE))*BG8</f>
        <v>44181.042159362994</v>
      </c>
      <c r="CR8" s="449">
        <v>0</v>
      </c>
      <c r="CS8" s="449">
        <v>0</v>
      </c>
      <c r="CT8" s="341">
        <f t="shared" si="22"/>
        <v>44181.042159362994</v>
      </c>
      <c r="CU8" s="450">
        <v>0</v>
      </c>
      <c r="CV8" s="450">
        <v>0</v>
      </c>
      <c r="CW8" s="340">
        <f t="shared" si="23"/>
        <v>1767.2416863745198</v>
      </c>
      <c r="CX8" s="450">
        <v>0</v>
      </c>
      <c r="CY8" s="450">
        <v>0</v>
      </c>
      <c r="CZ8" s="341">
        <f t="shared" si="24"/>
        <v>1767.2416863745198</v>
      </c>
      <c r="DA8" s="91">
        <f t="shared" si="25"/>
        <v>31</v>
      </c>
      <c r="DB8" s="450">
        <v>0</v>
      </c>
      <c r="DC8" s="450">
        <v>0</v>
      </c>
      <c r="DD8" s="340">
        <f t="shared" si="26"/>
        <v>44181.042159362994</v>
      </c>
      <c r="DE8" s="450">
        <v>0</v>
      </c>
      <c r="DF8" s="450">
        <v>0</v>
      </c>
      <c r="DG8" s="341">
        <f t="shared" si="27"/>
        <v>44181.042159362994</v>
      </c>
      <c r="DH8" s="450">
        <v>0</v>
      </c>
      <c r="DI8" s="450">
        <v>0</v>
      </c>
      <c r="DJ8" s="449">
        <f t="shared" si="28"/>
        <v>0</v>
      </c>
      <c r="DK8" s="449">
        <v>0</v>
      </c>
      <c r="DL8" s="449">
        <v>0</v>
      </c>
      <c r="DM8" s="450">
        <f t="shared" si="29"/>
        <v>0</v>
      </c>
    </row>
    <row r="9" spans="1:117" ht="35" customHeight="1" x14ac:dyDescent="0.3">
      <c r="A9" s="330" t="s">
        <v>1341</v>
      </c>
      <c r="B9" s="318" t="s">
        <v>1165</v>
      </c>
      <c r="C9" s="318" t="s">
        <v>55</v>
      </c>
      <c r="D9" s="318" t="s">
        <v>17</v>
      </c>
      <c r="E9" s="318" t="s">
        <v>56</v>
      </c>
      <c r="F9" s="318" t="s">
        <v>818</v>
      </c>
      <c r="G9" s="318" t="s">
        <v>724</v>
      </c>
      <c r="H9" s="318" t="s">
        <v>1219</v>
      </c>
      <c r="I9" s="318" t="s">
        <v>1220</v>
      </c>
      <c r="J9" s="318" t="s">
        <v>1221</v>
      </c>
      <c r="K9" s="318" t="s">
        <v>1222</v>
      </c>
      <c r="L9" s="318" t="s">
        <v>12</v>
      </c>
      <c r="M9" s="318" t="s">
        <v>10</v>
      </c>
      <c r="N9" s="318" t="s">
        <v>817</v>
      </c>
      <c r="O9" s="318" t="s">
        <v>194</v>
      </c>
      <c r="P9" s="333">
        <v>54.25</v>
      </c>
      <c r="Q9" s="318" t="s">
        <v>194</v>
      </c>
      <c r="R9" s="318">
        <v>23.6</v>
      </c>
      <c r="S9" s="318">
        <f>'GRC and TUL Assumptions'!E$63</f>
        <v>75</v>
      </c>
      <c r="T9" s="318">
        <v>1973</v>
      </c>
      <c r="U9" s="318" t="s">
        <v>1108</v>
      </c>
      <c r="V9" s="318">
        <f t="shared" si="31"/>
        <v>1973</v>
      </c>
      <c r="W9" s="318" t="str">
        <f t="shared" si="32"/>
        <v xml:space="preserve">Actual </v>
      </c>
      <c r="X9" s="318">
        <v>1992</v>
      </c>
      <c r="Y9" s="318" t="s">
        <v>801</v>
      </c>
      <c r="Z9" s="452">
        <f t="shared" si="0"/>
        <v>109188.65269675656</v>
      </c>
      <c r="AA9" s="318" t="s">
        <v>800</v>
      </c>
      <c r="AB9" s="511">
        <f t="shared" si="1"/>
        <v>73371.556310347456</v>
      </c>
      <c r="AC9" s="516">
        <f t="shared" si="2"/>
        <v>35817.096386409103</v>
      </c>
      <c r="AD9" s="511">
        <f t="shared" si="3"/>
        <v>167.7615755803705</v>
      </c>
      <c r="AE9" s="516">
        <f t="shared" si="4"/>
        <v>35649.334810828732</v>
      </c>
      <c r="AF9" s="511">
        <f>HLOOKUP($C$1,'Inflation Adjustments'!$BI$3:$BT$4,2)*BJ9</f>
        <v>592470.70778437506</v>
      </c>
      <c r="AG9" s="511">
        <f>IF(AN9="In Service",'Maintenace Cost Assumptions'!B9*(BG9),0)</f>
        <v>5121.2000000000007</v>
      </c>
      <c r="AH9" s="318">
        <v>4</v>
      </c>
      <c r="AI9" s="318">
        <v>3</v>
      </c>
      <c r="AJ9" s="318">
        <v>1</v>
      </c>
      <c r="AK9" s="318">
        <v>3</v>
      </c>
      <c r="AL9" s="318"/>
      <c r="AM9" s="332">
        <f>(AH9*'Condition rating weights'!H$32+AI9*'Condition rating weights'!I$32+AJ9*'Condition rating weights'!J$32+AK9*'Condition rating weights'!R$32+AL9*'Condition rating weights'!S$32)/100</f>
        <v>0.46</v>
      </c>
      <c r="AN9" s="454" t="s">
        <v>1430</v>
      </c>
      <c r="AX9" s="91">
        <f>'GRC and TUL Assumptions'!C63</f>
        <v>60</v>
      </c>
      <c r="AZ9" s="447">
        <f>'GRC and TUL Assumptions'!E63</f>
        <v>75</v>
      </c>
      <c r="BA9" s="447"/>
      <c r="BB9" s="447"/>
      <c r="BD9" s="91" t="str">
        <f t="shared" si="5"/>
        <v>ASCA-005</v>
      </c>
      <c r="BE9" s="340">
        <f t="shared" si="6"/>
        <v>192045.00000000003</v>
      </c>
      <c r="BF9" s="340">
        <f t="shared" si="7"/>
        <v>76818.000000000015</v>
      </c>
      <c r="BG9" s="340">
        <f t="shared" si="8"/>
        <v>128030.00000000001</v>
      </c>
      <c r="BH9" s="340"/>
      <c r="BI9" s="340"/>
      <c r="BJ9" s="341">
        <f t="shared" si="9"/>
        <v>396893.00000000006</v>
      </c>
      <c r="BK9" s="341">
        <f>(HLOOKUP($V9,'Inflation Adjustments'!$B$3:$BT$4,2,TRUE))*BE9</f>
        <v>31455.295421319468</v>
      </c>
      <c r="BL9" s="341">
        <f>(HLOOKUP($V9,'Inflation Adjustments'!$M$3:$BT$4,2,TRUE))*BF9</f>
        <v>12582.118168527788</v>
      </c>
      <c r="BM9" s="341">
        <f>(HLOOKUP($V9,'Inflation Adjustments'!$M$3:$BT$4,2,TRUE))*BG9</f>
        <v>20970.196947546312</v>
      </c>
      <c r="BN9" s="341"/>
      <c r="BO9" s="341"/>
      <c r="BP9" s="341">
        <f t="shared" si="10"/>
        <v>65007.610537393572</v>
      </c>
      <c r="BQ9" s="448">
        <f t="shared" si="11"/>
        <v>49</v>
      </c>
      <c r="BR9" s="93" t="s">
        <v>179</v>
      </c>
      <c r="BS9" s="448">
        <f t="shared" si="12"/>
        <v>75</v>
      </c>
      <c r="BT9" s="448">
        <f t="shared" si="13"/>
        <v>25</v>
      </c>
      <c r="BU9" s="448"/>
      <c r="BV9" s="93"/>
      <c r="BW9" s="449">
        <v>0</v>
      </c>
      <c r="BX9" s="340">
        <f t="shared" si="14"/>
        <v>167.7615755803705</v>
      </c>
      <c r="BY9" s="340">
        <f>1/BT9*BM9</f>
        <v>838.80787790185252</v>
      </c>
      <c r="BZ9" s="340"/>
      <c r="CA9" s="340"/>
      <c r="CB9" s="340">
        <f t="shared" si="16"/>
        <v>1006.569453482223</v>
      </c>
      <c r="CC9" s="449">
        <v>0</v>
      </c>
      <c r="CD9" s="340">
        <f t="shared" si="17"/>
        <v>8220.317203438155</v>
      </c>
      <c r="CE9" s="340">
        <f t="shared" si="17"/>
        <v>20970.196947546312</v>
      </c>
      <c r="CF9" s="340"/>
      <c r="CG9" s="340"/>
      <c r="CH9" s="341">
        <f t="shared" si="18"/>
        <v>29190.514150984469</v>
      </c>
      <c r="CI9" s="449">
        <v>0</v>
      </c>
      <c r="CJ9" s="340">
        <f t="shared" si="19"/>
        <v>167.7615755803705</v>
      </c>
      <c r="CK9" s="340">
        <f t="shared" si="19"/>
        <v>0</v>
      </c>
      <c r="CL9" s="340">
        <f t="shared" si="30"/>
        <v>0</v>
      </c>
      <c r="CM9" s="340">
        <f t="shared" si="30"/>
        <v>0</v>
      </c>
      <c r="CN9" s="341">
        <f t="shared" si="21"/>
        <v>167.7615755803705</v>
      </c>
      <c r="CO9" s="449">
        <v>0</v>
      </c>
      <c r="CP9" s="449">
        <v>0</v>
      </c>
      <c r="CQ9" s="341">
        <f>(HLOOKUP($X9,'Inflation Adjustments'!$M$3:$BT$4,2,TRUE))*BG9</f>
        <v>44181.042159362994</v>
      </c>
      <c r="CR9" s="449">
        <v>0</v>
      </c>
      <c r="CS9" s="449">
        <v>0</v>
      </c>
      <c r="CT9" s="341">
        <f t="shared" si="22"/>
        <v>44181.042159362994</v>
      </c>
      <c r="CU9" s="450">
        <v>0</v>
      </c>
      <c r="CV9" s="450">
        <v>0</v>
      </c>
      <c r="CW9" s="340">
        <f t="shared" si="23"/>
        <v>1767.2416863745198</v>
      </c>
      <c r="CX9" s="450">
        <v>0</v>
      </c>
      <c r="CY9" s="450">
        <v>0</v>
      </c>
      <c r="CZ9" s="341">
        <f t="shared" si="24"/>
        <v>1767.2416863745198</v>
      </c>
      <c r="DA9" s="91">
        <f t="shared" si="25"/>
        <v>31</v>
      </c>
      <c r="DB9" s="450">
        <v>0</v>
      </c>
      <c r="DC9" s="450">
        <v>0</v>
      </c>
      <c r="DD9" s="340">
        <f t="shared" si="26"/>
        <v>44181.042159362994</v>
      </c>
      <c r="DE9" s="450">
        <v>0</v>
      </c>
      <c r="DF9" s="450">
        <v>0</v>
      </c>
      <c r="DG9" s="341">
        <f t="shared" si="27"/>
        <v>44181.042159362994</v>
      </c>
      <c r="DH9" s="450">
        <v>0</v>
      </c>
      <c r="DI9" s="450">
        <v>0</v>
      </c>
      <c r="DJ9" s="449">
        <f t="shared" si="28"/>
        <v>0</v>
      </c>
      <c r="DK9" s="449">
        <v>0</v>
      </c>
      <c r="DL9" s="449">
        <v>0</v>
      </c>
      <c r="DM9" s="450">
        <f t="shared" si="29"/>
        <v>0</v>
      </c>
    </row>
    <row r="10" spans="1:117" ht="35" customHeight="1" x14ac:dyDescent="0.3">
      <c r="A10" s="330" t="s">
        <v>1342</v>
      </c>
      <c r="B10" s="318" t="s">
        <v>1408</v>
      </c>
      <c r="C10" s="318" t="s">
        <v>55</v>
      </c>
      <c r="D10" s="318" t="s">
        <v>17</v>
      </c>
      <c r="E10" s="318" t="s">
        <v>56</v>
      </c>
      <c r="F10" s="318" t="s">
        <v>818</v>
      </c>
      <c r="G10" s="318" t="s">
        <v>724</v>
      </c>
      <c r="H10" s="318" t="s">
        <v>1217</v>
      </c>
      <c r="I10" s="318" t="s">
        <v>1218</v>
      </c>
      <c r="J10" s="318" t="s">
        <v>1221</v>
      </c>
      <c r="K10" s="318" t="s">
        <v>1222</v>
      </c>
      <c r="L10" s="318" t="s">
        <v>12</v>
      </c>
      <c r="M10" s="318" t="s">
        <v>10</v>
      </c>
      <c r="N10" s="318" t="s">
        <v>817</v>
      </c>
      <c r="O10" s="318" t="s">
        <v>194</v>
      </c>
      <c r="P10" s="333">
        <v>121.5</v>
      </c>
      <c r="Q10" s="318" t="s">
        <v>194</v>
      </c>
      <c r="R10" s="318">
        <v>57</v>
      </c>
      <c r="S10" s="318">
        <f>'GRC and TUL Assumptions'!E$63</f>
        <v>75</v>
      </c>
      <c r="T10" s="318">
        <v>1973</v>
      </c>
      <c r="U10" s="318" t="s">
        <v>1108</v>
      </c>
      <c r="V10" s="318">
        <f t="shared" si="31"/>
        <v>1973</v>
      </c>
      <c r="W10" s="318" t="str">
        <f t="shared" si="32"/>
        <v xml:space="preserve">Actual </v>
      </c>
      <c r="X10" s="318">
        <v>1992</v>
      </c>
      <c r="Y10" s="318" t="s">
        <v>801</v>
      </c>
      <c r="Z10" s="452">
        <f t="shared" si="0"/>
        <v>590631.89428367373</v>
      </c>
      <c r="AA10" s="318" t="s">
        <v>800</v>
      </c>
      <c r="AB10" s="511">
        <f t="shared" si="1"/>
        <v>396887.22426564968</v>
      </c>
      <c r="AC10" s="516">
        <f t="shared" si="2"/>
        <v>193744.67001802404</v>
      </c>
      <c r="AD10" s="511">
        <f t="shared" si="3"/>
        <v>907.46918041229083</v>
      </c>
      <c r="AE10" s="516">
        <f t="shared" si="4"/>
        <v>192837.20083761174</v>
      </c>
      <c r="AF10" s="511">
        <f>HLOOKUP($C$1,'Inflation Adjustments'!$BI$3:$BT$4,2)*BJ10</f>
        <v>3204839.4022968747</v>
      </c>
      <c r="AG10" s="511">
        <f>IF(AN10="In Service",'Maintenace Cost Assumptions'!B10*(BG10),0)</f>
        <v>13851</v>
      </c>
      <c r="AH10" s="318">
        <v>4</v>
      </c>
      <c r="AI10" s="318">
        <v>3</v>
      </c>
      <c r="AJ10" s="318">
        <v>1</v>
      </c>
      <c r="AK10" s="318">
        <v>3</v>
      </c>
      <c r="AL10" s="318"/>
      <c r="AM10" s="332">
        <f>(AH10*'Condition rating weights'!H$32+AI10*'Condition rating weights'!I$32+AJ10*'Condition rating weights'!J$32+AK10*'Condition rating weights'!R$32+AL10*'Condition rating weights'!S$32)/100</f>
        <v>0.46</v>
      </c>
      <c r="AN10" s="454" t="s">
        <v>1430</v>
      </c>
      <c r="AV10" s="589" t="s">
        <v>812</v>
      </c>
      <c r="AW10" s="589"/>
      <c r="AX10" s="589"/>
      <c r="AY10" s="589"/>
      <c r="AZ10" s="589"/>
      <c r="BA10" s="589"/>
      <c r="BB10" s="589"/>
      <c r="BD10" s="91" t="str">
        <f t="shared" si="5"/>
        <v>ASCA-006</v>
      </c>
      <c r="BE10" s="340">
        <f t="shared" si="6"/>
        <v>1038825</v>
      </c>
      <c r="BF10" s="340">
        <f t="shared" si="7"/>
        <v>415530</v>
      </c>
      <c r="BG10" s="340">
        <f t="shared" si="8"/>
        <v>692550</v>
      </c>
      <c r="BH10" s="340"/>
      <c r="BI10" s="340"/>
      <c r="BJ10" s="341">
        <f t="shared" si="9"/>
        <v>2146905</v>
      </c>
      <c r="BK10" s="341">
        <f>(HLOOKUP($V10,'Inflation Adjustments'!$B$3:$BT$4,2,TRUE))*BE10</f>
        <v>170150.47132730449</v>
      </c>
      <c r="BL10" s="341">
        <f>(HLOOKUP($V10,'Inflation Adjustments'!$M$3:$BT$4,2,TRUE))*BF10</f>
        <v>68060.188530921805</v>
      </c>
      <c r="BM10" s="341">
        <f>(HLOOKUP($V10,'Inflation Adjustments'!$M$3:$BT$4,2,TRUE))*BG10</f>
        <v>113433.64755153634</v>
      </c>
      <c r="BN10" s="341"/>
      <c r="BO10" s="341"/>
      <c r="BP10" s="341">
        <f t="shared" si="10"/>
        <v>351644.30740976264</v>
      </c>
      <c r="BQ10" s="448">
        <f t="shared" si="11"/>
        <v>49</v>
      </c>
      <c r="BR10" s="93" t="s">
        <v>179</v>
      </c>
      <c r="BS10" s="448">
        <f t="shared" si="12"/>
        <v>75</v>
      </c>
      <c r="BT10" s="448">
        <f t="shared" si="13"/>
        <v>25</v>
      </c>
      <c r="BU10" s="448"/>
      <c r="BV10" s="93"/>
      <c r="BW10" s="449">
        <v>0</v>
      </c>
      <c r="BX10" s="340">
        <f t="shared" si="14"/>
        <v>907.46918041229083</v>
      </c>
      <c r="BY10" s="340">
        <f>1/BT10*BM10</f>
        <v>4537.3459020614537</v>
      </c>
      <c r="BZ10" s="340"/>
      <c r="CA10" s="340"/>
      <c r="CB10" s="340">
        <f t="shared" si="16"/>
        <v>5444.815082473744</v>
      </c>
      <c r="CC10" s="449">
        <v>0</v>
      </c>
      <c r="CD10" s="340">
        <f t="shared" si="17"/>
        <v>44465.989840202252</v>
      </c>
      <c r="CE10" s="340">
        <f t="shared" si="17"/>
        <v>113433.64755153634</v>
      </c>
      <c r="CF10" s="340"/>
      <c r="CG10" s="340"/>
      <c r="CH10" s="341">
        <f t="shared" si="18"/>
        <v>157899.63739173859</v>
      </c>
      <c r="CI10" s="449">
        <v>0</v>
      </c>
      <c r="CJ10" s="340">
        <f t="shared" si="19"/>
        <v>907.46918041229083</v>
      </c>
      <c r="CK10" s="340">
        <f t="shared" si="19"/>
        <v>0</v>
      </c>
      <c r="CL10" s="340">
        <f t="shared" si="30"/>
        <v>0</v>
      </c>
      <c r="CM10" s="340">
        <f t="shared" si="30"/>
        <v>0</v>
      </c>
      <c r="CN10" s="341">
        <f t="shared" si="21"/>
        <v>907.46918041229083</v>
      </c>
      <c r="CO10" s="449">
        <v>0</v>
      </c>
      <c r="CP10" s="449">
        <v>0</v>
      </c>
      <c r="CQ10" s="341">
        <f>(HLOOKUP($X10,'Inflation Adjustments'!$M$3:$BT$4,2,TRUE))*BG10</f>
        <v>238987.58687391109</v>
      </c>
      <c r="CR10" s="449">
        <v>0</v>
      </c>
      <c r="CS10" s="449">
        <v>0</v>
      </c>
      <c r="CT10" s="341">
        <f t="shared" si="22"/>
        <v>238987.58687391109</v>
      </c>
      <c r="CU10" s="450">
        <v>0</v>
      </c>
      <c r="CV10" s="450">
        <v>0</v>
      </c>
      <c r="CW10" s="340">
        <f t="shared" si="23"/>
        <v>9559.5034749564438</v>
      </c>
      <c r="CX10" s="450">
        <v>0</v>
      </c>
      <c r="CY10" s="450">
        <v>0</v>
      </c>
      <c r="CZ10" s="341">
        <f t="shared" si="24"/>
        <v>9559.5034749564438</v>
      </c>
      <c r="DA10" s="91">
        <f t="shared" si="25"/>
        <v>31</v>
      </c>
      <c r="DB10" s="450">
        <v>0</v>
      </c>
      <c r="DC10" s="450">
        <v>0</v>
      </c>
      <c r="DD10" s="340">
        <f t="shared" si="26"/>
        <v>238987.58687391109</v>
      </c>
      <c r="DE10" s="450">
        <v>0</v>
      </c>
      <c r="DF10" s="450">
        <v>0</v>
      </c>
      <c r="DG10" s="341">
        <f t="shared" si="27"/>
        <v>238987.58687391109</v>
      </c>
      <c r="DH10" s="450">
        <v>0</v>
      </c>
      <c r="DI10" s="450">
        <v>0</v>
      </c>
      <c r="DJ10" s="449">
        <f t="shared" si="28"/>
        <v>0</v>
      </c>
      <c r="DK10" s="449">
        <v>0</v>
      </c>
      <c r="DL10" s="449">
        <v>0</v>
      </c>
      <c r="DM10" s="450">
        <f t="shared" si="29"/>
        <v>0</v>
      </c>
    </row>
    <row r="11" spans="1:117" ht="52.5" customHeight="1" x14ac:dyDescent="0.3">
      <c r="A11" s="330"/>
      <c r="B11" s="451"/>
      <c r="C11" s="318"/>
      <c r="D11" s="357"/>
      <c r="E11" s="318"/>
      <c r="F11" s="357"/>
      <c r="G11" s="318"/>
      <c r="H11" s="318"/>
      <c r="I11" s="318"/>
      <c r="J11" s="318"/>
      <c r="K11" s="318"/>
      <c r="L11" s="318"/>
      <c r="M11" s="318"/>
      <c r="N11" s="318"/>
      <c r="O11" s="318"/>
      <c r="P11" s="333"/>
      <c r="Q11" s="318"/>
      <c r="R11" s="318"/>
      <c r="S11" s="318"/>
      <c r="T11" s="318"/>
      <c r="U11" s="318"/>
      <c r="V11" s="318"/>
      <c r="W11" s="318"/>
      <c r="X11" s="318"/>
      <c r="Y11" s="318"/>
      <c r="Z11" s="452"/>
      <c r="AA11" s="318"/>
      <c r="AB11" s="511" t="e">
        <f t="shared" ref="AB11:AB12" si="33">CH11+DG11</f>
        <v>#N/A</v>
      </c>
      <c r="AC11" s="516" t="e">
        <f t="shared" ref="AC11:AC12" si="34">Z11-AB11</f>
        <v>#N/A</v>
      </c>
      <c r="AD11" s="511" t="e">
        <f t="shared" ref="AD11:AD12" si="35">CN11+DM11</f>
        <v>#N/A</v>
      </c>
      <c r="AE11" s="516" t="e">
        <f t="shared" ref="AE11:AE12" si="36">AC11-AD11</f>
        <v>#N/A</v>
      </c>
      <c r="AF11" s="511">
        <f>HLOOKUP($C$1,'Inflation Adjustments'!$BI$3:$BT$4,2)*BJ11</f>
        <v>0</v>
      </c>
      <c r="AG11" s="511">
        <f>IF(AN11="In Service",'Maintenace Cost Assumptions'!B11*(BG11),0)</f>
        <v>0</v>
      </c>
      <c r="AH11" s="318"/>
      <c r="AI11" s="318"/>
      <c r="AJ11" s="318"/>
      <c r="AK11" s="318"/>
      <c r="AL11" s="318"/>
      <c r="AM11" s="332">
        <f>(AH11*'Condition rating weights'!H$32+AI11*'Condition rating weights'!I$32+AJ11*'Condition rating weights'!J$32+AK11*'Condition rating weights'!R$32+AL11*'Condition rating weights'!S$32)/100</f>
        <v>0</v>
      </c>
      <c r="AN11" s="454"/>
      <c r="AV11" s="447"/>
      <c r="AX11" s="447" t="str">
        <f>'GRC and TUL Assumptions'!E30</f>
        <v>Superior</v>
      </c>
      <c r="AZ11" s="447" t="str">
        <f>AX11</f>
        <v>Superior</v>
      </c>
      <c r="BA11" s="447"/>
      <c r="BB11" s="447"/>
      <c r="BD11" s="91">
        <f t="shared" ref="BD11:BD12" si="37">A11</f>
        <v>0</v>
      </c>
      <c r="BE11" s="340">
        <f t="shared" ref="BE11:BE12" si="38">$P11*$R11*AX$6</f>
        <v>0</v>
      </c>
      <c r="BF11" s="340">
        <f t="shared" ref="BF11:BF12" si="39">$P11*$R11*AX$9</f>
        <v>0</v>
      </c>
      <c r="BG11" s="340">
        <f t="shared" ref="BG11:BG12" si="40">$P11*$R11*AX$12</f>
        <v>0</v>
      </c>
      <c r="BH11" s="340"/>
      <c r="BI11" s="340"/>
      <c r="BJ11" s="341">
        <f t="shared" ref="BJ11:BJ12" si="41">SUM(BE11:BI11)</f>
        <v>0</v>
      </c>
      <c r="BK11" s="341" t="e">
        <f>(HLOOKUP($V11,'Inflation Adjustments'!$B$3:$BT$4,2,TRUE))*BE11</f>
        <v>#N/A</v>
      </c>
      <c r="BL11" s="341" t="e">
        <f>(HLOOKUP($V11,'Inflation Adjustments'!$M$3:$BT$4,2,TRUE))*BF11</f>
        <v>#N/A</v>
      </c>
      <c r="BM11" s="341" t="e">
        <f>(HLOOKUP($V11,'Inflation Adjustments'!$M$3:$BT$4,2,TRUE))*BG11</f>
        <v>#N/A</v>
      </c>
      <c r="BN11" s="341"/>
      <c r="BO11" s="341"/>
      <c r="BP11" s="341" t="e">
        <f t="shared" ref="BP11:BP12" si="42">SUM(BK11:BO11)</f>
        <v>#N/A</v>
      </c>
      <c r="BQ11" s="448">
        <f t="shared" ref="BQ11:BQ12" si="43">$C$1-V11-1</f>
        <v>2022</v>
      </c>
      <c r="BR11" s="93" t="s">
        <v>179</v>
      </c>
      <c r="BS11" s="448">
        <f t="shared" ref="BS11:BS12" si="44">AZ$9</f>
        <v>75</v>
      </c>
      <c r="BT11" s="448">
        <f t="shared" ref="BT11:BT12" si="45">AZ$12</f>
        <v>25</v>
      </c>
      <c r="BU11" s="448"/>
      <c r="BV11" s="93"/>
      <c r="BW11" s="449">
        <v>0</v>
      </c>
      <c r="BX11" s="340" t="e">
        <f t="shared" ref="BX11:BX12" si="46">1/BS11*BL11</f>
        <v>#N/A</v>
      </c>
      <c r="BY11" s="340" t="e">
        <f t="shared" ref="BY11:BY12" si="47">1/BT11*BM11</f>
        <v>#N/A</v>
      </c>
      <c r="BZ11" s="340"/>
      <c r="CA11" s="340"/>
      <c r="CB11" s="340" t="e">
        <f t="shared" ref="CB11:CB12" si="48">SUM(BW11:CA11)</f>
        <v>#N/A</v>
      </c>
      <c r="CC11" s="449">
        <v>0</v>
      </c>
      <c r="CD11" s="340" t="e">
        <f t="shared" ref="CD11:CD12" si="49">IF(BX11*$BQ11&gt;BL11,BL11,BX11*$BQ11)</f>
        <v>#N/A</v>
      </c>
      <c r="CE11" s="340" t="e">
        <f t="shared" ref="CE11:CE12" si="50">IF(BY11*$BQ11&gt;BM11,BM11,BY11*$BQ11)</f>
        <v>#N/A</v>
      </c>
      <c r="CF11" s="340"/>
      <c r="CG11" s="340"/>
      <c r="CH11" s="341" t="e">
        <f t="shared" ref="CH11:CH12" si="51">SUM(CC11:CG11)</f>
        <v>#N/A</v>
      </c>
      <c r="CI11" s="449">
        <v>0</v>
      </c>
      <c r="CJ11" s="340" t="e">
        <f t="shared" ref="CJ11:CJ12" si="52">IF(BX11&lt;(BL11-CD11),BX11,(BL11-CD11))</f>
        <v>#N/A</v>
      </c>
      <c r="CK11" s="340" t="e">
        <f t="shared" ref="CK11:CK12" si="53">IF(BY11&lt;(BM11-CE11),BY11,(BM11-CE11))</f>
        <v>#N/A</v>
      </c>
      <c r="CL11" s="340">
        <f t="shared" ref="CL11:CL12" si="54">IF(BZ11&lt;(BN11-CF11),BZ11,(BN11-CF11))</f>
        <v>0</v>
      </c>
      <c r="CM11" s="340">
        <f t="shared" ref="CM11:CM12" si="55">IF(CA11&lt;(BO11-CG11),CA11,(BO11-CG11))</f>
        <v>0</v>
      </c>
      <c r="CN11" s="341" t="e">
        <f t="shared" ref="CN11:CN12" si="56">SUM(CI11:CM11)</f>
        <v>#N/A</v>
      </c>
      <c r="CO11" s="449">
        <v>0</v>
      </c>
      <c r="CP11" s="449">
        <v>0</v>
      </c>
      <c r="CQ11" s="341" t="e">
        <f>(HLOOKUP($X11,'Inflation Adjustments'!$M$3:$BT$4,2,TRUE))*BG11</f>
        <v>#N/A</v>
      </c>
      <c r="CR11" s="449">
        <v>0</v>
      </c>
      <c r="CS11" s="449">
        <v>0</v>
      </c>
      <c r="CT11" s="341" t="e">
        <f t="shared" ref="CT11:CT12" si="57">SUM(CO11:CS11)</f>
        <v>#N/A</v>
      </c>
      <c r="CU11" s="450">
        <v>0</v>
      </c>
      <c r="CV11" s="450">
        <v>0</v>
      </c>
      <c r="CW11" s="340" t="e">
        <f t="shared" ref="CW11:CW12" si="58">1/BT11*CQ11</f>
        <v>#N/A</v>
      </c>
      <c r="CX11" s="450">
        <v>0</v>
      </c>
      <c r="CY11" s="450">
        <v>0</v>
      </c>
      <c r="CZ11" s="341" t="e">
        <f t="shared" ref="CZ11:CZ12" si="59">SUM(CU11:CY11)</f>
        <v>#N/A</v>
      </c>
      <c r="DA11" s="91">
        <f t="shared" ref="DA11:DA12" si="60">$C$1-X11</f>
        <v>2023</v>
      </c>
      <c r="DB11" s="450">
        <v>0</v>
      </c>
      <c r="DC11" s="450">
        <v>0</v>
      </c>
      <c r="DD11" s="340" t="e">
        <f t="shared" ref="DD11:DD12" si="61">IF(CW11*$DA11&gt;CT11,CT11,C11*$DA11)</f>
        <v>#N/A</v>
      </c>
      <c r="DE11" s="450">
        <v>0</v>
      </c>
      <c r="DF11" s="450">
        <v>0</v>
      </c>
      <c r="DG11" s="341" t="e">
        <f t="shared" ref="DG11:DG12" si="62">SUM(DB11:DF11)</f>
        <v>#N/A</v>
      </c>
      <c r="DH11" s="450">
        <v>0</v>
      </c>
      <c r="DI11" s="450">
        <v>0</v>
      </c>
      <c r="DJ11" s="449" t="e">
        <f t="shared" ref="DJ11:DJ12" si="63">IF(CW11&lt;(CT11-DG11),CW11,(CT11-DG11))</f>
        <v>#N/A</v>
      </c>
      <c r="DK11" s="449">
        <v>0</v>
      </c>
      <c r="DL11" s="449">
        <v>0</v>
      </c>
      <c r="DM11" s="450" t="e">
        <f t="shared" ref="DM11:DM12" si="64">SUM(DH11:DL11)</f>
        <v>#N/A</v>
      </c>
    </row>
    <row r="12" spans="1:117" ht="48.5" customHeight="1" x14ac:dyDescent="0.3">
      <c r="A12" s="330"/>
      <c r="B12" s="451"/>
      <c r="C12" s="318"/>
      <c r="D12" s="357"/>
      <c r="E12" s="318"/>
      <c r="F12" s="357"/>
      <c r="G12" s="318"/>
      <c r="H12" s="318"/>
      <c r="I12" s="318"/>
      <c r="J12" s="318"/>
      <c r="K12" s="318"/>
      <c r="L12" s="318"/>
      <c r="M12" s="318"/>
      <c r="N12" s="318"/>
      <c r="O12" s="318"/>
      <c r="P12" s="333"/>
      <c r="Q12" s="318"/>
      <c r="R12" s="318"/>
      <c r="S12" s="318"/>
      <c r="T12" s="318"/>
      <c r="U12" s="318"/>
      <c r="V12" s="318"/>
      <c r="W12" s="318"/>
      <c r="X12" s="318"/>
      <c r="Y12" s="318"/>
      <c r="Z12" s="452"/>
      <c r="AA12" s="318"/>
      <c r="AB12" s="511" t="e">
        <f t="shared" si="33"/>
        <v>#N/A</v>
      </c>
      <c r="AC12" s="516" t="e">
        <f t="shared" si="34"/>
        <v>#N/A</v>
      </c>
      <c r="AD12" s="511" t="e">
        <f t="shared" si="35"/>
        <v>#N/A</v>
      </c>
      <c r="AE12" s="516" t="e">
        <f t="shared" si="36"/>
        <v>#N/A</v>
      </c>
      <c r="AF12" s="511">
        <f>HLOOKUP($C$1,'Inflation Adjustments'!$BI$3:$BT$4,2)*BJ12</f>
        <v>0</v>
      </c>
      <c r="AG12" s="511">
        <f>IF(AN12="In Service",'Maintenace Cost Assumptions'!B12*(BG12),0)</f>
        <v>0</v>
      </c>
      <c r="AH12" s="318"/>
      <c r="AI12" s="318"/>
      <c r="AJ12" s="318"/>
      <c r="AK12" s="318"/>
      <c r="AL12" s="318"/>
      <c r="AM12" s="332">
        <f>(AH12*'Condition rating weights'!H$32+AI12*'Condition rating weights'!I$32+AJ12*'Condition rating weights'!J$32+AK12*'Condition rating weights'!R$32+AL12*'Condition rating weights'!S$32)/100</f>
        <v>0</v>
      </c>
      <c r="AN12" s="454"/>
      <c r="AX12" s="91">
        <f>'GRC and TUL Assumptions'!C66</f>
        <v>100</v>
      </c>
      <c r="AZ12" s="91">
        <f>'GRC and TUL Assumptions'!E66</f>
        <v>25</v>
      </c>
      <c r="BA12" s="447"/>
      <c r="BB12" s="447"/>
      <c r="BD12" s="91">
        <f t="shared" si="37"/>
        <v>0</v>
      </c>
      <c r="BE12" s="340">
        <f t="shared" si="38"/>
        <v>0</v>
      </c>
      <c r="BF12" s="340">
        <f t="shared" si="39"/>
        <v>0</v>
      </c>
      <c r="BG12" s="340">
        <f t="shared" si="40"/>
        <v>0</v>
      </c>
      <c r="BH12" s="340"/>
      <c r="BI12" s="340"/>
      <c r="BJ12" s="341">
        <f t="shared" si="41"/>
        <v>0</v>
      </c>
      <c r="BK12" s="341" t="e">
        <f>(HLOOKUP($V12,'Inflation Adjustments'!$B$3:$BT$4,2,TRUE))*BE12</f>
        <v>#N/A</v>
      </c>
      <c r="BL12" s="341" t="e">
        <f>(HLOOKUP($V12,'Inflation Adjustments'!$M$3:$BT$4,2,TRUE))*BF12</f>
        <v>#N/A</v>
      </c>
      <c r="BM12" s="341" t="e">
        <f>(HLOOKUP($V12,'Inflation Adjustments'!$M$3:$BT$4,2,TRUE))*BG12</f>
        <v>#N/A</v>
      </c>
      <c r="BN12" s="341"/>
      <c r="BO12" s="341"/>
      <c r="BP12" s="341" t="e">
        <f t="shared" si="42"/>
        <v>#N/A</v>
      </c>
      <c r="BQ12" s="448">
        <f t="shared" si="43"/>
        <v>2022</v>
      </c>
      <c r="BR12" s="93" t="s">
        <v>179</v>
      </c>
      <c r="BS12" s="448">
        <f t="shared" si="44"/>
        <v>75</v>
      </c>
      <c r="BT12" s="448">
        <f t="shared" si="45"/>
        <v>25</v>
      </c>
      <c r="BU12" s="448"/>
      <c r="BV12" s="93"/>
      <c r="BW12" s="449">
        <v>0</v>
      </c>
      <c r="BX12" s="340" t="e">
        <f t="shared" si="46"/>
        <v>#N/A</v>
      </c>
      <c r="BY12" s="340" t="e">
        <f t="shared" si="47"/>
        <v>#N/A</v>
      </c>
      <c r="BZ12" s="340"/>
      <c r="CA12" s="340"/>
      <c r="CB12" s="340" t="e">
        <f t="shared" si="48"/>
        <v>#N/A</v>
      </c>
      <c r="CC12" s="449">
        <v>0</v>
      </c>
      <c r="CD12" s="340" t="e">
        <f t="shared" si="49"/>
        <v>#N/A</v>
      </c>
      <c r="CE12" s="340" t="e">
        <f t="shared" si="50"/>
        <v>#N/A</v>
      </c>
      <c r="CF12" s="340"/>
      <c r="CG12" s="340"/>
      <c r="CH12" s="341" t="e">
        <f t="shared" si="51"/>
        <v>#N/A</v>
      </c>
      <c r="CI12" s="449">
        <v>0</v>
      </c>
      <c r="CJ12" s="340" t="e">
        <f t="shared" si="52"/>
        <v>#N/A</v>
      </c>
      <c r="CK12" s="340" t="e">
        <f t="shared" si="53"/>
        <v>#N/A</v>
      </c>
      <c r="CL12" s="340">
        <f t="shared" si="54"/>
        <v>0</v>
      </c>
      <c r="CM12" s="340">
        <f t="shared" si="55"/>
        <v>0</v>
      </c>
      <c r="CN12" s="341" t="e">
        <f t="shared" si="56"/>
        <v>#N/A</v>
      </c>
      <c r="CO12" s="449">
        <v>0</v>
      </c>
      <c r="CP12" s="449">
        <v>0</v>
      </c>
      <c r="CQ12" s="341" t="e">
        <f>(HLOOKUP($X12,'Inflation Adjustments'!$M$3:$BT$4,2,TRUE))*BG12</f>
        <v>#N/A</v>
      </c>
      <c r="CR12" s="449">
        <v>0</v>
      </c>
      <c r="CS12" s="449">
        <v>0</v>
      </c>
      <c r="CT12" s="341" t="e">
        <f t="shared" si="57"/>
        <v>#N/A</v>
      </c>
      <c r="CU12" s="450">
        <v>0</v>
      </c>
      <c r="CV12" s="450">
        <v>0</v>
      </c>
      <c r="CW12" s="340" t="e">
        <f t="shared" si="58"/>
        <v>#N/A</v>
      </c>
      <c r="CX12" s="450">
        <v>0</v>
      </c>
      <c r="CY12" s="450">
        <v>0</v>
      </c>
      <c r="CZ12" s="341" t="e">
        <f t="shared" si="59"/>
        <v>#N/A</v>
      </c>
      <c r="DA12" s="91">
        <f t="shared" si="60"/>
        <v>2023</v>
      </c>
      <c r="DB12" s="450">
        <v>0</v>
      </c>
      <c r="DC12" s="450">
        <v>0</v>
      </c>
      <c r="DD12" s="340" t="e">
        <f t="shared" si="61"/>
        <v>#N/A</v>
      </c>
      <c r="DE12" s="450">
        <v>0</v>
      </c>
      <c r="DF12" s="450">
        <v>0</v>
      </c>
      <c r="DG12" s="341" t="e">
        <f t="shared" si="62"/>
        <v>#N/A</v>
      </c>
      <c r="DH12" s="450">
        <v>0</v>
      </c>
      <c r="DI12" s="450">
        <v>0</v>
      </c>
      <c r="DJ12" s="449" t="e">
        <f t="shared" si="63"/>
        <v>#N/A</v>
      </c>
      <c r="DK12" s="449">
        <v>0</v>
      </c>
      <c r="DL12" s="449">
        <v>0</v>
      </c>
      <c r="DM12" s="450" t="e">
        <f t="shared" si="64"/>
        <v>#N/A</v>
      </c>
    </row>
    <row r="13" spans="1:117" ht="20" customHeight="1" x14ac:dyDescent="0.3">
      <c r="C13" s="462"/>
      <c r="D13" s="462"/>
      <c r="E13" s="462"/>
      <c r="F13" s="462"/>
      <c r="G13" s="462"/>
      <c r="H13" s="462"/>
      <c r="I13" s="462"/>
      <c r="J13" s="462"/>
      <c r="K13" s="462"/>
      <c r="L13" s="462"/>
      <c r="M13" s="462"/>
      <c r="N13" s="462"/>
      <c r="O13" s="462"/>
      <c r="P13" s="462"/>
      <c r="Q13" s="462"/>
      <c r="R13" s="462"/>
      <c r="S13" s="462"/>
      <c r="T13" s="462"/>
      <c r="U13" s="462"/>
      <c r="V13" s="462"/>
      <c r="W13" s="462"/>
      <c r="X13" s="462"/>
      <c r="Y13" s="462"/>
      <c r="Z13" s="462"/>
      <c r="AA13" s="462"/>
      <c r="AB13" s="462"/>
      <c r="AC13" s="462"/>
      <c r="AD13" s="462"/>
      <c r="AE13" s="462"/>
      <c r="AF13" s="462"/>
      <c r="AG13" s="462"/>
      <c r="AH13" s="462"/>
      <c r="AI13" s="462"/>
      <c r="AJ13" s="462"/>
      <c r="AK13" s="462"/>
      <c r="AL13" s="462"/>
    </row>
    <row r="14" spans="1:117" ht="20" customHeight="1" x14ac:dyDescent="0.3">
      <c r="C14" s="462"/>
      <c r="D14" s="462"/>
      <c r="E14" s="462"/>
      <c r="F14" s="462"/>
      <c r="G14" s="462"/>
      <c r="H14" s="462"/>
      <c r="I14" s="462"/>
      <c r="J14" s="462"/>
      <c r="K14" s="462"/>
      <c r="L14" s="462"/>
      <c r="M14" s="462"/>
      <c r="N14" s="462"/>
      <c r="O14" s="462"/>
      <c r="P14" s="462"/>
      <c r="Q14" s="462"/>
      <c r="R14" s="462"/>
      <c r="S14" s="462"/>
      <c r="T14" s="462"/>
      <c r="U14" s="462"/>
      <c r="V14" s="462"/>
      <c r="W14" s="462"/>
      <c r="X14" s="462"/>
      <c r="Y14" s="462"/>
      <c r="Z14" s="462"/>
      <c r="AA14" s="462"/>
      <c r="AB14" s="462"/>
      <c r="AC14" s="462"/>
      <c r="AD14" s="462"/>
      <c r="AE14" s="462"/>
      <c r="AF14" s="462"/>
      <c r="AG14" s="462"/>
      <c r="AH14" s="462"/>
      <c r="AI14" s="462"/>
      <c r="AJ14" s="462"/>
      <c r="AK14" s="462"/>
      <c r="AL14" s="462"/>
    </row>
    <row r="15" spans="1:117" x14ac:dyDescent="0.3">
      <c r="C15" s="462"/>
      <c r="D15" s="462"/>
      <c r="E15" s="462"/>
      <c r="F15" s="462"/>
      <c r="G15" s="462"/>
      <c r="H15" s="462"/>
      <c r="I15" s="462"/>
      <c r="J15" s="462"/>
      <c r="K15" s="462"/>
      <c r="L15" s="462"/>
      <c r="M15" s="462"/>
      <c r="N15" s="462"/>
      <c r="O15" s="462"/>
      <c r="P15" s="462"/>
      <c r="Q15" s="462"/>
      <c r="R15" s="462"/>
      <c r="S15" s="462"/>
      <c r="T15" s="462"/>
      <c r="U15" s="462"/>
      <c r="V15" s="462"/>
      <c r="W15" s="462"/>
      <c r="X15" s="462"/>
      <c r="Y15" s="462"/>
      <c r="Z15" s="462"/>
      <c r="AA15" s="462"/>
      <c r="AB15" s="462"/>
      <c r="AC15" s="462"/>
      <c r="AD15" s="462"/>
      <c r="AE15" s="462"/>
      <c r="AF15" s="462"/>
      <c r="AG15" s="462"/>
      <c r="AH15" s="462"/>
      <c r="AI15" s="462"/>
      <c r="AJ15" s="462"/>
      <c r="AK15" s="462"/>
      <c r="AL15" s="462"/>
    </row>
    <row r="16" spans="1:117" x14ac:dyDescent="0.3">
      <c r="C16" s="462"/>
      <c r="D16" s="462"/>
      <c r="E16" s="462"/>
      <c r="F16" s="462"/>
      <c r="G16" s="462"/>
      <c r="H16" s="462"/>
      <c r="I16" s="462"/>
      <c r="J16" s="462"/>
      <c r="K16" s="462"/>
      <c r="L16" s="462"/>
      <c r="M16" s="462"/>
      <c r="N16" s="462"/>
      <c r="O16" s="462"/>
      <c r="P16" s="462"/>
      <c r="Q16" s="462"/>
      <c r="R16" s="462"/>
      <c r="S16" s="462"/>
      <c r="T16" s="462"/>
      <c r="U16" s="462"/>
      <c r="V16" s="462"/>
      <c r="W16" s="462"/>
      <c r="X16" s="462"/>
      <c r="Y16" s="462"/>
    </row>
    <row r="17" spans="3:59" x14ac:dyDescent="0.3">
      <c r="C17" s="462"/>
      <c r="D17" s="462"/>
      <c r="E17" s="462"/>
      <c r="F17" s="462"/>
      <c r="G17" s="462"/>
      <c r="H17" s="462"/>
      <c r="I17" s="462"/>
      <c r="J17" s="462"/>
      <c r="K17" s="462"/>
      <c r="L17" s="462"/>
      <c r="M17" s="462"/>
      <c r="N17" s="462"/>
      <c r="O17" s="462"/>
      <c r="P17" s="462"/>
      <c r="Q17" s="462"/>
      <c r="R17" s="462"/>
      <c r="S17" s="462"/>
      <c r="T17" s="462"/>
      <c r="U17" s="462"/>
      <c r="V17" s="462"/>
      <c r="W17" s="462"/>
      <c r="X17" s="462"/>
      <c r="Y17" s="462"/>
      <c r="Z17" s="487">
        <f>SUM(Z5:Z10)</f>
        <v>9502331.191003263</v>
      </c>
      <c r="AA17" s="487"/>
      <c r="AB17" s="487">
        <f t="shared" ref="AB17:AC17" si="65">SUM(AB5:AB10)</f>
        <v>6385286.4820721187</v>
      </c>
      <c r="AC17" s="487">
        <f t="shared" si="65"/>
        <v>3117044.7089311443</v>
      </c>
      <c r="AD17" s="487"/>
      <c r="AE17" s="487"/>
      <c r="AF17" s="487">
        <f>SUM(AF5:AF12)</f>
        <v>51560787.199845001</v>
      </c>
      <c r="AG17" s="487">
        <f>SUM(AG5:AG12)</f>
        <v>128029.95</v>
      </c>
    </row>
    <row r="18" spans="3:59" x14ac:dyDescent="0.3">
      <c r="C18" s="462"/>
      <c r="D18" s="462"/>
      <c r="E18" s="462"/>
      <c r="F18" s="462"/>
      <c r="G18" s="462"/>
      <c r="H18" s="462"/>
      <c r="I18" s="462"/>
      <c r="J18" s="462"/>
      <c r="K18" s="462"/>
      <c r="L18" s="462"/>
      <c r="M18" s="462"/>
      <c r="N18" s="462"/>
      <c r="O18" s="462"/>
      <c r="P18" s="462"/>
      <c r="Q18" s="462"/>
      <c r="R18" s="462"/>
      <c r="S18" s="462"/>
      <c r="T18" s="462"/>
      <c r="U18" s="462"/>
      <c r="V18" s="462"/>
      <c r="W18" s="462"/>
      <c r="X18" s="462"/>
      <c r="Y18" s="462"/>
    </row>
    <row r="19" spans="3:59" x14ac:dyDescent="0.3">
      <c r="C19" s="462"/>
      <c r="D19" s="462"/>
      <c r="E19" s="462"/>
      <c r="F19" s="462"/>
      <c r="G19" s="462"/>
      <c r="H19" s="462"/>
      <c r="I19" s="462"/>
      <c r="J19" s="462"/>
      <c r="K19" s="462"/>
      <c r="L19" s="462"/>
      <c r="M19" s="462"/>
      <c r="N19" s="462"/>
      <c r="O19" s="462"/>
      <c r="P19" s="462"/>
      <c r="Q19" s="462"/>
      <c r="R19" s="462"/>
      <c r="S19" s="462"/>
      <c r="T19" s="462"/>
      <c r="U19" s="462"/>
      <c r="V19" s="462"/>
      <c r="W19" s="462"/>
      <c r="X19" s="462"/>
      <c r="Y19" s="462"/>
    </row>
    <row r="20" spans="3:59" x14ac:dyDescent="0.3">
      <c r="C20" s="462"/>
      <c r="D20" s="462"/>
      <c r="E20" s="462"/>
      <c r="F20" s="462"/>
      <c r="G20" s="462"/>
      <c r="H20" s="462"/>
      <c r="I20" s="462"/>
      <c r="J20" s="462"/>
      <c r="K20" s="462"/>
      <c r="L20" s="462"/>
      <c r="M20" s="462"/>
      <c r="N20" s="462"/>
      <c r="O20" s="462"/>
      <c r="P20" s="462"/>
      <c r="Q20" s="462"/>
      <c r="R20" s="462"/>
      <c r="S20" s="462"/>
      <c r="T20" s="462"/>
      <c r="U20" s="462"/>
      <c r="V20" s="462"/>
      <c r="W20" s="462"/>
      <c r="X20" s="462"/>
      <c r="Y20" s="462"/>
      <c r="BG20" s="341"/>
    </row>
  </sheetData>
  <mergeCells count="34">
    <mergeCell ref="DB3:DG3"/>
    <mergeCell ref="DH3:DM3"/>
    <mergeCell ref="AV4:BB4"/>
    <mergeCell ref="CC3:CH3"/>
    <mergeCell ref="CI3:CN3"/>
    <mergeCell ref="CO3:CT3"/>
    <mergeCell ref="CU3:CZ3"/>
    <mergeCell ref="AV10:BB10"/>
    <mergeCell ref="BR3:BV3"/>
    <mergeCell ref="BW3:CB3"/>
    <mergeCell ref="BE3:BJ3"/>
    <mergeCell ref="BK3:BP3"/>
    <mergeCell ref="AV7:BB7"/>
    <mergeCell ref="L3:N3"/>
    <mergeCell ref="S3:S4"/>
    <mergeCell ref="T3:U3"/>
    <mergeCell ref="AC3:AC4"/>
    <mergeCell ref="AD3:AD4"/>
    <mergeCell ref="V3:W3"/>
    <mergeCell ref="Z3:AA3"/>
    <mergeCell ref="AB3:AB4"/>
    <mergeCell ref="CO2:CY2"/>
    <mergeCell ref="S2:AE2"/>
    <mergeCell ref="O3:R3"/>
    <mergeCell ref="AF3:AF4"/>
    <mergeCell ref="AG3:AG4"/>
    <mergeCell ref="AH3:AJ3"/>
    <mergeCell ref="AE3:AE4"/>
    <mergeCell ref="AN3:AN4"/>
    <mergeCell ref="A1:B1"/>
    <mergeCell ref="A2:K2"/>
    <mergeCell ref="L2:R2"/>
    <mergeCell ref="AF2:AM2"/>
    <mergeCell ref="BW2:CH2"/>
  </mergeCells>
  <conditionalFormatting sqref="AH5:AK10">
    <cfRule type="cellIs" dxfId="47" priority="10" operator="equal">
      <formula>1</formula>
    </cfRule>
    <cfRule type="cellIs" dxfId="46" priority="11" operator="equal">
      <formula>2</formula>
    </cfRule>
    <cfRule type="cellIs" dxfId="45" priority="12" operator="equal">
      <formula>3</formula>
    </cfRule>
    <cfRule type="cellIs" dxfId="44" priority="13" operator="greaterThan">
      <formula>3.9</formula>
    </cfRule>
  </conditionalFormatting>
  <conditionalFormatting sqref="AM5:AM12">
    <cfRule type="cellIs" dxfId="43" priority="1" operator="lessThan">
      <formula>0.3</formula>
    </cfRule>
    <cfRule type="cellIs" dxfId="42" priority="2" operator="between">
      <formula>0.3</formula>
      <formula>0.5</formula>
    </cfRule>
    <cfRule type="cellIs" dxfId="41" priority="3" operator="between">
      <formula>0.5</formula>
      <formula>0.6</formula>
    </cfRule>
    <cfRule type="cellIs" dxfId="40" priority="4" operator="greaterThan">
      <formula>0.6</formula>
    </cfRule>
    <cfRule type="cellIs" dxfId="39" priority="5" operator="lessThan">
      <formula>0.5</formula>
    </cfRule>
  </conditionalFormatting>
  <pageMargins left="0.7" right="0.7" top="0.75" bottom="0.75" header="0.3" footer="0.3"/>
  <headerFooter>
    <oddFooter>&amp;C_x000D_&amp;1#&amp;"Calibri"&amp;8&amp;K000000 INTERNAL. This information is accessible to ADB Management and staff. It may be shared outside ADB with appropriate permission.</oddFooter>
  </headerFooter>
  <extLst>
    <ext xmlns:x14="http://schemas.microsoft.com/office/spreadsheetml/2009/9/main" uri="{CCE6A557-97BC-4b89-ADB6-D9C93CAAB3DF}">
      <x14:dataValidations xmlns:xm="http://schemas.microsoft.com/office/excel/2006/main" count="7">
        <x14:dataValidation type="list" allowBlank="1" showInputMessage="1" showErrorMessage="1" xr:uid="{9E7195F1-95F4-4461-9F89-27A80FE5191B}">
          <x14:formula1>
            <xm:f>'AR-Hierarchy '!$J$116:$J$118</xm:f>
          </x14:formula1>
          <xm:sqref>N5:N12</xm:sqref>
        </x14:dataValidation>
        <x14:dataValidation type="list" allowBlank="1" showInputMessage="1" showErrorMessage="1" xr:uid="{5C8A523B-62F8-4F7E-90BB-D14FA61B58BF}">
          <x14:formula1>
            <xm:f>'AR-Hierarchy '!$J$112:$J$114</xm:f>
          </x14:formula1>
          <xm:sqref>M5:M12</xm:sqref>
        </x14:dataValidation>
        <x14:dataValidation type="list" allowBlank="1" showInputMessage="1" showErrorMessage="1" xr:uid="{322BBEFA-A5C6-411D-A84D-8A33754F6F34}">
          <x14:formula1>
            <xm:f>'AR-Hierarchy '!$J$108:$J$110</xm:f>
          </x14:formula1>
          <xm:sqref>L5:L12</xm:sqref>
        </x14:dataValidation>
        <x14:dataValidation type="list" allowBlank="1" showInputMessage="1" showErrorMessage="1" xr:uid="{5D8FE618-BE51-4B3B-9A5C-AFF32DBA5395}">
          <x14:formula1>
            <xm:f>'Inflation Adjustments'!$B$3:$BT$3</xm:f>
          </x14:formula1>
          <xm:sqref>T5</xm:sqref>
        </x14:dataValidation>
        <x14:dataValidation type="list" allowBlank="1" showInputMessage="1" showErrorMessage="1" xr:uid="{6D386509-87AE-4667-8346-8F62E2BE2479}">
          <x14:formula1>
            <xm:f>'Condition rating weights'!$C$29:$C$34</xm:f>
          </x14:formula1>
          <xm:sqref>AH5:AL12</xm:sqref>
        </x14:dataValidation>
        <x14:dataValidation type="list" allowBlank="1" showInputMessage="1" showErrorMessage="1" xr:uid="{5FADC0FD-D800-47FE-8BB2-448C8E443602}">
          <x14:formula1>
            <xm:f>'AR-Hierarchy '!$E$146:$E$152</xm:f>
          </x14:formula1>
          <xm:sqref>D5:D11</xm:sqref>
        </x14:dataValidation>
        <x14:dataValidation type="list" allowBlank="1" showInputMessage="1" showErrorMessage="1" xr:uid="{6DFC35A5-AA7E-4EE8-B2E8-8ACAA77DB29B}">
          <x14:formula1>
            <xm:f>'AR-Hierarchy '!$B$4:$B$53</xm:f>
          </x14:formula1>
          <xm:sqref>C5:C11</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04FAB-C2B2-4324-BC00-53C9702A8E89}">
  <dimension ref="A1:DM35"/>
  <sheetViews>
    <sheetView topLeftCell="AC6" zoomScaleNormal="100" workbookViewId="0">
      <selection activeCell="AE15" sqref="AE15"/>
    </sheetView>
  </sheetViews>
  <sheetFormatPr defaultColWidth="8.81640625" defaultRowHeight="14" x14ac:dyDescent="0.3"/>
  <cols>
    <col min="1" max="9" width="35.6328125" style="289" customWidth="1"/>
    <col min="10" max="32" width="35.6328125" style="91" customWidth="1"/>
    <col min="33" max="34" width="8.81640625" style="91" customWidth="1"/>
    <col min="35" max="35" width="16.08984375" style="91" customWidth="1"/>
    <col min="36" max="41" width="8.81640625" style="91"/>
    <col min="42" max="42" width="12.08984375" style="91" customWidth="1"/>
    <col min="43" max="43" width="12.1796875" style="91" customWidth="1"/>
    <col min="44" max="44" width="16.36328125" style="91" customWidth="1"/>
    <col min="45" max="45" width="11.1796875" style="91" customWidth="1"/>
    <col min="46" max="47" width="11.36328125" style="91" customWidth="1"/>
    <col min="48" max="48" width="11.08984375" style="91" customWidth="1"/>
    <col min="49" max="56" width="8.81640625" style="91"/>
    <col min="57" max="57" width="12.54296875" style="91" bestFit="1" customWidth="1"/>
    <col min="58" max="58" width="11.08984375" style="91" bestFit="1" customWidth="1"/>
    <col min="59" max="59" width="10" style="91" bestFit="1" customWidth="1"/>
    <col min="60" max="60" width="8.81640625" style="91"/>
    <col min="61" max="61" width="11.08984375" style="91" bestFit="1" customWidth="1"/>
    <col min="62" max="62" width="11.36328125" style="91" customWidth="1"/>
    <col min="63" max="63" width="12.36328125" style="91" customWidth="1"/>
    <col min="64" max="64" width="8.81640625" style="91"/>
    <col min="65" max="65" width="11" style="91" customWidth="1"/>
    <col min="66" max="67" width="8.81640625" style="91"/>
    <col min="68" max="68" width="10.81640625" style="91" customWidth="1"/>
    <col min="69" max="69" width="16.36328125" style="91" customWidth="1"/>
    <col min="70" max="70" width="10" style="91" customWidth="1"/>
    <col min="71" max="71" width="8.81640625" style="91"/>
    <col min="72" max="72" width="9.08984375" style="91" bestFit="1" customWidth="1"/>
    <col min="73" max="74" width="8.81640625" style="91"/>
    <col min="75" max="75" width="10.81640625" style="91" customWidth="1"/>
    <col min="76" max="76" width="8.81640625" style="91" bestFit="1" customWidth="1"/>
    <col min="77" max="77" width="9.08984375" style="91" bestFit="1" customWidth="1"/>
    <col min="78" max="79" width="8.81640625" style="91" bestFit="1" customWidth="1"/>
    <col min="80" max="80" width="8.81640625" style="91" customWidth="1"/>
    <col min="81" max="81" width="10.08984375" style="91" customWidth="1"/>
    <col min="82" max="82" width="8.81640625" style="91"/>
    <col min="83" max="83" width="12.453125" style="91" customWidth="1"/>
    <col min="84" max="85" width="8.81640625" style="91"/>
    <col min="86" max="86" width="11.08984375" style="91" bestFit="1" customWidth="1"/>
    <col min="87" max="92" width="11.08984375" style="91" customWidth="1"/>
    <col min="93" max="93" width="9.453125" style="91" customWidth="1"/>
    <col min="94" max="94" width="8.81640625" style="91"/>
    <col min="95" max="95" width="11.08984375" style="91" bestFit="1" customWidth="1"/>
    <col min="96" max="97" width="8.81640625" style="91"/>
    <col min="98" max="98" width="11.08984375" style="91" bestFit="1" customWidth="1"/>
    <col min="99" max="99" width="9.6328125" style="91" customWidth="1"/>
    <col min="100" max="100" width="8.81640625" style="91"/>
    <col min="101" max="101" width="9.08984375" style="91" bestFit="1" customWidth="1"/>
    <col min="102" max="103" width="8.81640625" style="91"/>
    <col min="104" max="104" width="9.08984375" style="91" bestFit="1" customWidth="1"/>
    <col min="105" max="105" width="12.1796875" style="91" customWidth="1"/>
    <col min="106" max="106" width="10.1796875" style="91" customWidth="1"/>
    <col min="107" max="107" width="8.81640625" style="91"/>
    <col min="108" max="108" width="12" style="91" customWidth="1"/>
    <col min="109" max="110" width="8.81640625" style="91"/>
    <col min="111" max="111" width="11.08984375" style="91" bestFit="1" customWidth="1"/>
    <col min="112" max="112" width="9.90625" style="91" customWidth="1"/>
    <col min="113" max="16384" width="8.81640625" style="91"/>
  </cols>
  <sheetData>
    <row r="1" spans="1:117" ht="39" customHeight="1" thickTop="1" x14ac:dyDescent="0.3">
      <c r="A1" s="621" t="s">
        <v>32</v>
      </c>
      <c r="B1" s="622"/>
      <c r="C1" s="288">
        <v>2023</v>
      </c>
      <c r="J1" s="289"/>
      <c r="K1" s="289"/>
      <c r="L1" s="289"/>
      <c r="M1" s="289"/>
      <c r="N1" s="289"/>
      <c r="O1" s="289"/>
      <c r="P1" s="289"/>
      <c r="Q1" s="289"/>
      <c r="R1" s="289"/>
      <c r="S1" s="289"/>
      <c r="T1" s="289"/>
      <c r="U1" s="289"/>
      <c r="V1" s="289"/>
      <c r="W1" s="289"/>
      <c r="X1" s="289"/>
      <c r="Y1" s="289"/>
      <c r="Z1" s="289"/>
      <c r="AA1" s="289"/>
      <c r="AB1" s="289"/>
      <c r="AC1" s="289"/>
      <c r="AD1" s="289"/>
      <c r="AE1" s="289"/>
    </row>
    <row r="2" spans="1:117" ht="43" customHeight="1" thickBot="1" x14ac:dyDescent="0.35">
      <c r="A2" s="584" t="s">
        <v>1403</v>
      </c>
      <c r="B2" s="585"/>
      <c r="C2" s="585"/>
      <c r="D2" s="585"/>
      <c r="E2" s="585"/>
      <c r="F2" s="585"/>
      <c r="G2" s="585"/>
      <c r="H2" s="585"/>
      <c r="I2" s="585"/>
      <c r="J2" s="585" t="s">
        <v>1409</v>
      </c>
      <c r="K2" s="585"/>
      <c r="L2" s="593" t="s">
        <v>267</v>
      </c>
      <c r="M2" s="593"/>
      <c r="N2" s="593"/>
      <c r="O2" s="593"/>
      <c r="P2" s="593"/>
      <c r="Q2" s="593"/>
      <c r="R2" s="593"/>
      <c r="S2" s="593"/>
      <c r="T2" s="593"/>
      <c r="U2" s="593"/>
      <c r="V2" s="593"/>
      <c r="W2" s="593"/>
      <c r="X2" s="594"/>
      <c r="Y2" s="606" t="s">
        <v>268</v>
      </c>
      <c r="Z2" s="606"/>
      <c r="AA2" s="606"/>
      <c r="AB2" s="606"/>
      <c r="AC2" s="606"/>
      <c r="AD2" s="606"/>
      <c r="AE2" s="483"/>
      <c r="AT2" s="589" t="s">
        <v>828</v>
      </c>
      <c r="AU2" s="589"/>
      <c r="AV2" s="93"/>
      <c r="BW2" s="589"/>
      <c r="BX2" s="589"/>
      <c r="BY2" s="589"/>
      <c r="BZ2" s="589"/>
      <c r="CA2" s="589"/>
      <c r="CB2" s="589"/>
      <c r="CC2" s="589"/>
      <c r="CD2" s="589"/>
      <c r="CE2" s="589"/>
      <c r="CF2" s="589"/>
      <c r="CG2" s="589"/>
      <c r="CH2" s="589"/>
      <c r="CI2" s="93"/>
      <c r="CJ2" s="93"/>
      <c r="CK2" s="93"/>
      <c r="CL2" s="93"/>
      <c r="CM2" s="93"/>
      <c r="CN2" s="93"/>
      <c r="CO2" s="589"/>
      <c r="CP2" s="589"/>
      <c r="CQ2" s="589"/>
      <c r="CR2" s="589"/>
      <c r="CS2" s="589"/>
      <c r="CT2" s="589"/>
      <c r="CU2" s="589"/>
      <c r="CV2" s="589"/>
      <c r="CW2" s="589"/>
      <c r="CX2" s="589"/>
      <c r="CY2" s="589"/>
      <c r="CZ2" s="93"/>
      <c r="DA2" s="93"/>
    </row>
    <row r="3" spans="1:117" ht="73" customHeight="1" thickTop="1" x14ac:dyDescent="0.3">
      <c r="A3" s="484" t="s">
        <v>0</v>
      </c>
      <c r="B3" s="298" t="s">
        <v>34</v>
      </c>
      <c r="C3" s="298" t="s">
        <v>250</v>
      </c>
      <c r="D3" s="298" t="s">
        <v>251</v>
      </c>
      <c r="E3" s="298" t="s">
        <v>1</v>
      </c>
      <c r="F3" s="298" t="s">
        <v>2</v>
      </c>
      <c r="G3" s="298" t="s">
        <v>252</v>
      </c>
      <c r="H3" s="298" t="s">
        <v>711</v>
      </c>
      <c r="I3" s="298" t="s">
        <v>712</v>
      </c>
      <c r="J3" s="616" t="s">
        <v>255</v>
      </c>
      <c r="K3" s="626"/>
      <c r="L3" s="294" t="s">
        <v>259</v>
      </c>
      <c r="M3" s="603" t="s">
        <v>38</v>
      </c>
      <c r="N3" s="604"/>
      <c r="O3" s="603" t="s">
        <v>261</v>
      </c>
      <c r="P3" s="591"/>
      <c r="Q3" s="296"/>
      <c r="R3" s="296"/>
      <c r="S3" s="591" t="s">
        <v>262</v>
      </c>
      <c r="T3" s="591"/>
      <c r="U3" s="591" t="s">
        <v>263</v>
      </c>
      <c r="V3" s="591" t="s">
        <v>326</v>
      </c>
      <c r="W3" s="604" t="s">
        <v>33</v>
      </c>
      <c r="X3" s="609" t="s">
        <v>264</v>
      </c>
      <c r="Y3" s="605" t="s">
        <v>265</v>
      </c>
      <c r="Z3" s="605" t="s">
        <v>266</v>
      </c>
      <c r="AA3" s="435" t="s">
        <v>1176</v>
      </c>
      <c r="AB3" s="435" t="s">
        <v>1581</v>
      </c>
      <c r="AC3" s="435"/>
      <c r="AD3" s="436" t="s">
        <v>1673</v>
      </c>
      <c r="AE3" s="671" t="s">
        <v>1428</v>
      </c>
      <c r="AK3" s="299" t="s">
        <v>809</v>
      </c>
      <c r="AP3" s="308" t="s">
        <v>816</v>
      </c>
      <c r="AQ3" s="306" t="s">
        <v>262</v>
      </c>
      <c r="AR3" s="307" t="s">
        <v>1028</v>
      </c>
      <c r="AS3" s="308" t="s">
        <v>825</v>
      </c>
      <c r="AT3" s="305" t="s">
        <v>827</v>
      </c>
      <c r="AU3" s="308" t="s">
        <v>826</v>
      </c>
      <c r="AV3" s="306" t="s">
        <v>833</v>
      </c>
      <c r="BE3" s="589"/>
      <c r="BF3" s="589"/>
      <c r="BG3" s="589"/>
      <c r="BH3" s="589"/>
      <c r="BI3" s="589"/>
      <c r="BJ3" s="589"/>
      <c r="BK3" s="589"/>
      <c r="BL3" s="589"/>
      <c r="BM3" s="589"/>
      <c r="BN3" s="589"/>
      <c r="BO3" s="589"/>
      <c r="BP3" s="589"/>
      <c r="BQ3" s="93"/>
      <c r="BR3" s="589"/>
      <c r="BS3" s="589"/>
      <c r="BT3" s="589"/>
      <c r="BU3" s="589"/>
      <c r="BV3" s="589"/>
      <c r="BW3" s="589"/>
      <c r="BX3" s="589"/>
      <c r="BY3" s="589"/>
      <c r="BZ3" s="589"/>
      <c r="CA3" s="589"/>
      <c r="CB3" s="589"/>
      <c r="CC3" s="589"/>
      <c r="CD3" s="589"/>
      <c r="CE3" s="589"/>
      <c r="CF3" s="589"/>
      <c r="CG3" s="589"/>
      <c r="CH3" s="589"/>
      <c r="CI3" s="589"/>
      <c r="CJ3" s="589"/>
      <c r="CK3" s="589"/>
      <c r="CL3" s="589"/>
      <c r="CM3" s="589"/>
      <c r="CN3" s="589"/>
      <c r="CO3" s="589"/>
      <c r="CP3" s="589"/>
      <c r="CQ3" s="589"/>
      <c r="CR3" s="589"/>
      <c r="CS3" s="589"/>
      <c r="CT3" s="589"/>
      <c r="CU3" s="589"/>
      <c r="CV3" s="589"/>
      <c r="CW3" s="589"/>
      <c r="CX3" s="589"/>
      <c r="CY3" s="589"/>
      <c r="CZ3" s="589"/>
      <c r="DA3" s="93"/>
      <c r="DB3" s="589"/>
      <c r="DC3" s="589"/>
      <c r="DD3" s="589"/>
      <c r="DE3" s="589"/>
      <c r="DF3" s="589"/>
      <c r="DG3" s="589"/>
      <c r="DH3" s="589"/>
      <c r="DI3" s="589"/>
      <c r="DJ3" s="589"/>
      <c r="DK3" s="589"/>
      <c r="DL3" s="589"/>
      <c r="DM3" s="589"/>
    </row>
    <row r="4" spans="1:117" ht="47" customHeight="1" thickBot="1" x14ac:dyDescent="0.35">
      <c r="A4" s="485"/>
      <c r="B4" s="486"/>
      <c r="C4" s="404"/>
      <c r="D4" s="404"/>
      <c r="E4" s="404"/>
      <c r="F4" s="404"/>
      <c r="G4" s="404"/>
      <c r="H4" s="404"/>
      <c r="I4" s="404"/>
      <c r="J4" s="349" t="s">
        <v>256</v>
      </c>
      <c r="K4" s="349" t="s">
        <v>257</v>
      </c>
      <c r="L4" s="349"/>
      <c r="M4" s="349" t="s">
        <v>38</v>
      </c>
      <c r="N4" s="349" t="s">
        <v>260</v>
      </c>
      <c r="O4" s="349" t="s">
        <v>261</v>
      </c>
      <c r="P4" s="349" t="s">
        <v>260</v>
      </c>
      <c r="Q4" s="349" t="s">
        <v>715</v>
      </c>
      <c r="R4" s="349" t="s">
        <v>716</v>
      </c>
      <c r="S4" s="349" t="s">
        <v>262</v>
      </c>
      <c r="T4" s="349" t="s">
        <v>260</v>
      </c>
      <c r="U4" s="647"/>
      <c r="V4" s="647"/>
      <c r="W4" s="648"/>
      <c r="X4" s="629"/>
      <c r="Y4" s="650"/>
      <c r="Z4" s="650"/>
      <c r="AA4" s="399"/>
      <c r="AB4" s="402"/>
      <c r="AC4" s="402"/>
      <c r="AD4" s="403" t="s">
        <v>37</v>
      </c>
      <c r="AE4" s="682"/>
      <c r="AI4" s="305"/>
      <c r="AJ4" s="306"/>
      <c r="AK4" s="306"/>
      <c r="AL4" s="306"/>
      <c r="AM4" s="306"/>
      <c r="AN4" s="306"/>
      <c r="AO4" s="306"/>
      <c r="AP4" s="307"/>
      <c r="AQ4" s="306"/>
      <c r="AS4" s="307"/>
      <c r="AT4" s="311"/>
      <c r="AU4" s="310"/>
      <c r="AV4" s="589"/>
      <c r="AW4" s="589"/>
      <c r="AX4" s="589"/>
      <c r="AY4" s="589"/>
      <c r="AZ4" s="589"/>
      <c r="BA4" s="589"/>
      <c r="BB4" s="589"/>
      <c r="BE4" s="359"/>
      <c r="BF4" s="359"/>
      <c r="BG4" s="359"/>
      <c r="BH4" s="359"/>
      <c r="BI4" s="359"/>
      <c r="BJ4" s="359"/>
      <c r="BK4" s="359"/>
      <c r="BL4" s="359"/>
      <c r="BM4" s="359"/>
      <c r="BN4" s="359"/>
      <c r="BO4" s="359"/>
      <c r="BP4" s="359"/>
      <c r="BQ4" s="359"/>
      <c r="BR4" s="359"/>
      <c r="BS4" s="359"/>
      <c r="BT4" s="359"/>
      <c r="BU4" s="359"/>
      <c r="BV4" s="359"/>
      <c r="BW4" s="359"/>
      <c r="BX4" s="359"/>
      <c r="BY4" s="359"/>
      <c r="BZ4" s="359"/>
      <c r="CA4" s="359"/>
      <c r="CB4" s="359"/>
      <c r="CC4" s="359"/>
      <c r="CD4" s="359"/>
      <c r="CE4" s="359"/>
      <c r="CF4" s="359"/>
      <c r="CG4" s="359"/>
      <c r="CH4" s="359"/>
      <c r="CI4" s="359"/>
      <c r="CJ4" s="359"/>
      <c r="CK4" s="359"/>
      <c r="CL4" s="359"/>
      <c r="CM4" s="359"/>
      <c r="CN4" s="359"/>
      <c r="CO4" s="359"/>
      <c r="CP4" s="359"/>
      <c r="CQ4" s="359"/>
      <c r="CR4" s="359"/>
      <c r="CS4" s="359"/>
      <c r="CT4" s="359"/>
      <c r="CU4" s="359"/>
      <c r="CV4" s="359"/>
      <c r="CW4" s="359"/>
      <c r="CX4" s="359"/>
      <c r="CY4" s="359"/>
      <c r="CZ4" s="359"/>
      <c r="DA4" s="359"/>
      <c r="DB4" s="359"/>
      <c r="DC4" s="359"/>
      <c r="DD4" s="359"/>
      <c r="DE4" s="359"/>
      <c r="DF4" s="359"/>
      <c r="DG4" s="359"/>
      <c r="DH4" s="359"/>
      <c r="DI4" s="359"/>
      <c r="DJ4" s="359"/>
      <c r="DK4" s="359"/>
      <c r="DL4" s="359"/>
      <c r="DM4" s="359"/>
    </row>
    <row r="5" spans="1:117" ht="30" customHeight="1" thickTop="1" x14ac:dyDescent="0.3">
      <c r="A5" s="330" t="s">
        <v>1343</v>
      </c>
      <c r="B5" s="451" t="s">
        <v>1155</v>
      </c>
      <c r="C5" s="318" t="s">
        <v>1246</v>
      </c>
      <c r="D5" s="357" t="s">
        <v>18</v>
      </c>
      <c r="E5" s="318" t="s">
        <v>1421</v>
      </c>
      <c r="F5" s="357" t="s">
        <v>818</v>
      </c>
      <c r="G5" s="318" t="s">
        <v>1154</v>
      </c>
      <c r="H5" s="318"/>
      <c r="I5" s="318"/>
      <c r="J5" s="318"/>
      <c r="K5" s="318"/>
      <c r="L5" s="489">
        <v>30</v>
      </c>
      <c r="M5" s="318">
        <v>1992</v>
      </c>
      <c r="N5" s="318" t="s">
        <v>982</v>
      </c>
      <c r="O5" s="318">
        <v>2005</v>
      </c>
      <c r="P5" s="318" t="s">
        <v>982</v>
      </c>
      <c r="Q5" s="318"/>
      <c r="R5" s="318"/>
      <c r="S5" s="317">
        <f>AQ5</f>
        <v>32449.750087024764</v>
      </c>
      <c r="T5" s="317" t="s">
        <v>800</v>
      </c>
      <c r="U5" s="317">
        <f>AU5</f>
        <v>18388.191715980698</v>
      </c>
      <c r="V5" s="317">
        <f>S5-U5</f>
        <v>14061.558371044066</v>
      </c>
      <c r="W5" s="317">
        <f>AV5</f>
        <v>1081.6583362341587</v>
      </c>
      <c r="X5" s="317">
        <f>V5-W5</f>
        <v>12979.900034809907</v>
      </c>
      <c r="Y5" s="317">
        <f>HLOOKUP($C$1,'Inflation Adjustments'!$BI$3:$BT$4,2)*AP5</f>
        <v>89566.312499999985</v>
      </c>
      <c r="Z5" s="317">
        <f>IF(AE5="In Service",'Maintenace Cost Assumptions'!$B$17*Y5,0)</f>
        <v>1791.3262499999998</v>
      </c>
      <c r="AA5" s="313">
        <v>4</v>
      </c>
      <c r="AB5" s="313">
        <v>4</v>
      </c>
      <c r="AC5" s="318"/>
      <c r="AD5" s="319">
        <f>(AA5*'Condition rating weights'!H$147+AB5*'Condition rating weights'!R$147+AC5*'Condition rating weights'!S$147)/100</f>
        <v>0.8</v>
      </c>
      <c r="AE5" s="454" t="s">
        <v>1430</v>
      </c>
      <c r="AF5" s="346"/>
      <c r="AI5" s="306"/>
      <c r="AJ5" s="490"/>
      <c r="AK5" s="490"/>
      <c r="AL5" s="490"/>
      <c r="AM5" s="305"/>
      <c r="AN5" s="305"/>
      <c r="AO5" s="305"/>
      <c r="AP5" s="323">
        <v>60000</v>
      </c>
      <c r="AQ5" s="325">
        <f>(HLOOKUP($O5,'Inflation Adjustments'!$B$3:$BT$4,2,TRUE))*AP5</f>
        <v>32449.750087024764</v>
      </c>
      <c r="AR5" s="326">
        <f>IF(($C$1-O5-1)&lt;0,0,$C$1-O5-1)</f>
        <v>17</v>
      </c>
      <c r="AS5" s="323">
        <f>L5</f>
        <v>30</v>
      </c>
      <c r="AT5" s="327">
        <f>AQ5/AS5</f>
        <v>1081.6583362341587</v>
      </c>
      <c r="AU5" s="323">
        <f>IF(AT5*$AR5&gt;AQ5,AQ5,AT5*$AR5)</f>
        <v>18388.191715980698</v>
      </c>
      <c r="AV5" s="327">
        <f>IF(AT5&lt;(AQ5-AU5),AT5,(AQ5-AU5))</f>
        <v>1081.6583362341587</v>
      </c>
      <c r="AX5" s="447"/>
      <c r="AZ5" s="447"/>
      <c r="BA5" s="447"/>
      <c r="BB5" s="447"/>
      <c r="BE5" s="340"/>
      <c r="BF5" s="340"/>
      <c r="BG5" s="340"/>
      <c r="BH5" s="340"/>
      <c r="BI5" s="340"/>
      <c r="BJ5" s="341"/>
      <c r="BK5" s="341"/>
      <c r="BL5" s="341"/>
      <c r="BM5" s="341"/>
      <c r="BN5" s="341"/>
      <c r="BO5" s="341"/>
      <c r="BP5" s="341"/>
      <c r="BQ5" s="448"/>
      <c r="BR5" s="93"/>
      <c r="BS5" s="448"/>
      <c r="BT5" s="448"/>
      <c r="BU5" s="448"/>
      <c r="BV5" s="93"/>
      <c r="BW5" s="449"/>
      <c r="BX5" s="340"/>
      <c r="BY5" s="340"/>
      <c r="BZ5" s="340"/>
      <c r="CA5" s="340"/>
      <c r="CB5" s="340"/>
      <c r="CC5" s="449"/>
      <c r="CD5" s="340"/>
      <c r="CE5" s="340"/>
      <c r="CF5" s="340"/>
      <c r="CG5" s="340"/>
      <c r="CH5" s="341"/>
      <c r="CI5" s="449"/>
      <c r="CJ5" s="340"/>
      <c r="CK5" s="340"/>
      <c r="CL5" s="340"/>
      <c r="CM5" s="340"/>
      <c r="CN5" s="341"/>
      <c r="CO5" s="449"/>
      <c r="CP5" s="449"/>
      <c r="CQ5" s="341"/>
      <c r="CR5" s="449"/>
      <c r="CS5" s="449"/>
      <c r="CT5" s="341"/>
      <c r="CU5" s="450"/>
      <c r="CV5" s="450"/>
      <c r="CW5" s="340"/>
      <c r="CX5" s="450"/>
      <c r="CY5" s="450"/>
      <c r="CZ5" s="341"/>
      <c r="DB5" s="450"/>
      <c r="DC5" s="450"/>
      <c r="DD5" s="340"/>
      <c r="DE5" s="450"/>
      <c r="DF5" s="450"/>
      <c r="DG5" s="341"/>
      <c r="DH5" s="450"/>
      <c r="DI5" s="450"/>
      <c r="DJ5" s="449"/>
      <c r="DK5" s="449"/>
      <c r="DL5" s="449"/>
      <c r="DM5" s="450"/>
    </row>
    <row r="6" spans="1:117" ht="30" customHeight="1" x14ac:dyDescent="0.3">
      <c r="A6" s="330" t="s">
        <v>1336</v>
      </c>
      <c r="B6" s="451" t="s">
        <v>1156</v>
      </c>
      <c r="C6" s="318" t="s">
        <v>1246</v>
      </c>
      <c r="D6" s="357" t="s">
        <v>17</v>
      </c>
      <c r="E6" s="318" t="s">
        <v>59</v>
      </c>
      <c r="F6" s="357" t="s">
        <v>818</v>
      </c>
      <c r="G6" s="318" t="s">
        <v>1154</v>
      </c>
      <c r="H6" s="318"/>
      <c r="I6" s="318"/>
      <c r="J6" s="318" t="s">
        <v>194</v>
      </c>
      <c r="K6" s="318">
        <v>5000</v>
      </c>
      <c r="L6" s="489">
        <f>'GRC and TUL Assumptions'!E96</f>
        <v>30</v>
      </c>
      <c r="M6" s="318">
        <v>2018</v>
      </c>
      <c r="N6" s="318" t="s">
        <v>982</v>
      </c>
      <c r="O6" s="318">
        <v>2018</v>
      </c>
      <c r="P6" s="318" t="s">
        <v>982</v>
      </c>
      <c r="Q6" s="318"/>
      <c r="R6" s="318"/>
      <c r="S6" s="317">
        <f>AQ6</f>
        <v>721847.93070259865</v>
      </c>
      <c r="T6" s="317" t="s">
        <v>800</v>
      </c>
      <c r="U6" s="317">
        <f>AU6</f>
        <v>96246.39076034649</v>
      </c>
      <c r="V6" s="317">
        <f>S6-U6</f>
        <v>625601.53994225222</v>
      </c>
      <c r="W6" s="317">
        <f>AV6</f>
        <v>24061.597690086623</v>
      </c>
      <c r="X6" s="317">
        <f>V6-W6</f>
        <v>601539.94225216564</v>
      </c>
      <c r="Y6" s="317">
        <f>HLOOKUP($C$1,'Inflation Adjustments'!$BI$3:$BT$4,2)*AP6</f>
        <v>1119578.90625</v>
      </c>
      <c r="Z6" s="317">
        <f>IF(AE6="In Service",'Maintenace Cost Assumptions'!$B$17*Y6,0)</f>
        <v>22391.578125</v>
      </c>
      <c r="AA6" s="318">
        <v>4</v>
      </c>
      <c r="AB6" s="318">
        <v>3</v>
      </c>
      <c r="AC6" s="318"/>
      <c r="AD6" s="332">
        <f>(AA6*'Condition rating weights'!H$147+AB6*'Condition rating weights'!R$147+AC6*'Condition rating weights'!S$147)/100</f>
        <v>0.7</v>
      </c>
      <c r="AE6" s="454" t="s">
        <v>1430</v>
      </c>
      <c r="AF6" s="339" t="s">
        <v>1632</v>
      </c>
      <c r="AI6" s="306"/>
      <c r="AJ6" s="490"/>
      <c r="AK6" s="490"/>
      <c r="AL6" s="490"/>
      <c r="AM6" s="305"/>
      <c r="AN6" s="305"/>
      <c r="AO6" s="305"/>
      <c r="AP6" s="323">
        <f>'GRC and TUL Assumptions'!C96*'Air Navigation Equipment'!K6</f>
        <v>750000</v>
      </c>
      <c r="AQ6" s="325">
        <f>(HLOOKUP($O6,'Inflation Adjustments'!$B$3:$BT$4,2,TRUE))*AP6</f>
        <v>721847.93070259865</v>
      </c>
      <c r="AR6" s="326">
        <f>IF(($C$1-O6-1)&lt;0,0,$C$1-O6-1)</f>
        <v>4</v>
      </c>
      <c r="AS6" s="323">
        <f>'GRC and TUL Assumptions'!E96</f>
        <v>30</v>
      </c>
      <c r="AT6" s="327">
        <f>AQ6/AS6</f>
        <v>24061.597690086623</v>
      </c>
      <c r="AU6" s="323">
        <f>IF(AT6*$AR6&gt;AQ6,AQ6,AT6*$AR6)</f>
        <v>96246.39076034649</v>
      </c>
      <c r="AV6" s="327">
        <f>IF(AT6&lt;(AQ6-AU6),AT6,(AQ6-AU6))</f>
        <v>24061.597690086623</v>
      </c>
      <c r="BA6" s="447"/>
      <c r="BB6" s="447"/>
      <c r="BE6" s="340"/>
      <c r="BF6" s="340"/>
      <c r="BG6" s="340"/>
      <c r="BH6" s="340"/>
      <c r="BI6" s="340"/>
      <c r="BJ6" s="341"/>
      <c r="BK6" s="341"/>
      <c r="BL6" s="341"/>
      <c r="BM6" s="341"/>
      <c r="BN6" s="341"/>
      <c r="BO6" s="341"/>
      <c r="BP6" s="341"/>
      <c r="BQ6" s="448"/>
      <c r="BR6" s="93"/>
      <c r="BS6" s="448"/>
      <c r="BT6" s="448"/>
      <c r="BU6" s="448"/>
      <c r="BV6" s="93"/>
      <c r="BW6" s="449"/>
      <c r="BX6" s="340"/>
      <c r="BY6" s="340"/>
      <c r="BZ6" s="340"/>
      <c r="CA6" s="340"/>
      <c r="CB6" s="340"/>
      <c r="CC6" s="449"/>
      <c r="CD6" s="340"/>
      <c r="CE6" s="340"/>
      <c r="CF6" s="340"/>
      <c r="CG6" s="340"/>
      <c r="CH6" s="341"/>
      <c r="CI6" s="449"/>
      <c r="CJ6" s="340"/>
      <c r="CK6" s="340"/>
      <c r="CL6" s="340"/>
      <c r="CM6" s="340"/>
      <c r="CN6" s="341"/>
      <c r="CO6" s="449"/>
      <c r="CP6" s="449"/>
      <c r="CQ6" s="341"/>
      <c r="CR6" s="449"/>
      <c r="CS6" s="449"/>
      <c r="CT6" s="341"/>
      <c r="CU6" s="450"/>
      <c r="CV6" s="450"/>
      <c r="CW6" s="340"/>
      <c r="CX6" s="450"/>
      <c r="CY6" s="450"/>
      <c r="CZ6" s="341"/>
      <c r="DB6" s="450"/>
      <c r="DC6" s="450"/>
      <c r="DD6" s="340"/>
      <c r="DE6" s="450"/>
      <c r="DF6" s="450"/>
      <c r="DG6" s="341"/>
      <c r="DH6" s="450"/>
      <c r="DI6" s="450"/>
      <c r="DJ6" s="449"/>
      <c r="DK6" s="449"/>
      <c r="DL6" s="449"/>
      <c r="DM6" s="450"/>
    </row>
    <row r="7" spans="1:117" ht="50.5" customHeight="1" x14ac:dyDescent="0.3">
      <c r="A7" s="330" t="s">
        <v>1344</v>
      </c>
      <c r="B7" s="451" t="s">
        <v>1348</v>
      </c>
      <c r="C7" s="318" t="s">
        <v>1246</v>
      </c>
      <c r="D7" s="357" t="s">
        <v>18</v>
      </c>
      <c r="E7" s="318" t="s">
        <v>1157</v>
      </c>
      <c r="F7" s="357" t="s">
        <v>818</v>
      </c>
      <c r="G7" s="318" t="s">
        <v>1154</v>
      </c>
      <c r="H7" s="318"/>
      <c r="I7" s="318"/>
      <c r="J7" s="318"/>
      <c r="K7" s="318"/>
      <c r="L7" s="489">
        <v>30</v>
      </c>
      <c r="M7" s="318">
        <v>2017</v>
      </c>
      <c r="N7" s="318" t="s">
        <v>982</v>
      </c>
      <c r="O7" s="318">
        <v>2017</v>
      </c>
      <c r="P7" s="318" t="s">
        <v>982</v>
      </c>
      <c r="Q7" s="318"/>
      <c r="R7" s="318"/>
      <c r="S7" s="317">
        <f>AQ7</f>
        <v>28865.257650808708</v>
      </c>
      <c r="T7" s="317" t="s">
        <v>800</v>
      </c>
      <c r="U7" s="317">
        <f>AU7</f>
        <v>4810.8762751347849</v>
      </c>
      <c r="V7" s="317">
        <f>S7-U7</f>
        <v>24054.381375673922</v>
      </c>
      <c r="W7" s="317">
        <f>AV7</f>
        <v>962.17525502695696</v>
      </c>
      <c r="X7" s="317">
        <f>V7-W7</f>
        <v>23092.206120646966</v>
      </c>
      <c r="Y7" s="317">
        <f>HLOOKUP($C$1,'Inflation Adjustments'!$BI$3:$BT$4,2)*AP7</f>
        <v>44783.156249999993</v>
      </c>
      <c r="Z7" s="317">
        <f>IF(AE7="In Service",'Maintenace Cost Assumptions'!$B$17*Y7,0)</f>
        <v>895.66312499999992</v>
      </c>
      <c r="AA7" s="318">
        <v>4</v>
      </c>
      <c r="AB7" s="318">
        <v>4</v>
      </c>
      <c r="AC7" s="318"/>
      <c r="AD7" s="332">
        <f>(AA7*'Condition rating weights'!H$147+AB7*'Condition rating weights'!R$147+AC7*'Condition rating weights'!S$147)/100</f>
        <v>0.8</v>
      </c>
      <c r="AE7" s="454" t="s">
        <v>1430</v>
      </c>
      <c r="AF7" s="255"/>
      <c r="AI7" s="306"/>
      <c r="AJ7" s="305"/>
      <c r="AK7" s="305"/>
      <c r="AL7" s="305"/>
      <c r="AM7" s="305"/>
      <c r="AN7" s="305"/>
      <c r="AO7" s="305"/>
      <c r="AP7" s="323">
        <v>30000</v>
      </c>
      <c r="AQ7" s="325">
        <f>(HLOOKUP($O7,'Inflation Adjustments'!$B$3:$BT$4,2,TRUE))*AP7</f>
        <v>28865.257650808708</v>
      </c>
      <c r="AR7" s="326">
        <f t="shared" ref="AR7:AR10" si="0">IF(($C$1-O7-1)&lt;0,0,$C$1-O7-1)</f>
        <v>5</v>
      </c>
      <c r="AS7" s="323">
        <f>L7</f>
        <v>30</v>
      </c>
      <c r="AT7" s="327">
        <f t="shared" ref="AT7:AT10" si="1">AQ7/AS7</f>
        <v>962.17525502695696</v>
      </c>
      <c r="AU7" s="323">
        <f t="shared" ref="AU7:AU10" si="2">IF(AT7*$AR7&gt;AQ7,AQ7,AT7*$AR7)</f>
        <v>4810.8762751347849</v>
      </c>
      <c r="AV7" s="327">
        <f>IF(AT7&lt;(AQ7-AU7),AT7,(AQ7-AU7))</f>
        <v>962.17525502695696</v>
      </c>
      <c r="BE7" s="340"/>
      <c r="BF7" s="340"/>
      <c r="BG7" s="340"/>
      <c r="BH7" s="340"/>
      <c r="BI7" s="340"/>
      <c r="BJ7" s="341"/>
      <c r="BK7" s="341"/>
      <c r="BL7" s="341"/>
      <c r="BM7" s="341"/>
      <c r="BN7" s="341"/>
      <c r="BO7" s="341"/>
      <c r="BP7" s="341"/>
      <c r="BQ7" s="448"/>
      <c r="BR7" s="93"/>
      <c r="BS7" s="448"/>
      <c r="BT7" s="448"/>
      <c r="BU7" s="448"/>
      <c r="BV7" s="93"/>
      <c r="BW7" s="449"/>
      <c r="BX7" s="340"/>
      <c r="BY7" s="340"/>
      <c r="BZ7" s="340"/>
      <c r="CA7" s="340"/>
      <c r="CB7" s="340"/>
      <c r="CC7" s="449"/>
      <c r="CD7" s="340"/>
      <c r="CE7" s="340"/>
      <c r="CF7" s="340"/>
      <c r="CG7" s="340"/>
      <c r="CH7" s="341"/>
      <c r="CI7" s="449"/>
      <c r="CJ7" s="340"/>
      <c r="CK7" s="340"/>
      <c r="CL7" s="340"/>
      <c r="CM7" s="340"/>
      <c r="CN7" s="341"/>
      <c r="CO7" s="449"/>
      <c r="CP7" s="449"/>
      <c r="CQ7" s="341"/>
      <c r="CR7" s="449"/>
      <c r="CS7" s="449"/>
      <c r="CT7" s="341"/>
      <c r="CU7" s="450"/>
      <c r="CV7" s="450"/>
      <c r="CW7" s="340"/>
      <c r="CX7" s="450"/>
      <c r="CY7" s="450"/>
      <c r="CZ7" s="341"/>
      <c r="DB7" s="450"/>
      <c r="DC7" s="450"/>
      <c r="DD7" s="340"/>
      <c r="DE7" s="450"/>
      <c r="DF7" s="450"/>
      <c r="DG7" s="341"/>
      <c r="DH7" s="450"/>
      <c r="DI7" s="450"/>
      <c r="DJ7" s="449"/>
      <c r="DK7" s="449"/>
      <c r="DL7" s="449"/>
      <c r="DM7" s="450"/>
    </row>
    <row r="8" spans="1:117" ht="30" customHeight="1" x14ac:dyDescent="0.3">
      <c r="A8" s="330" t="s">
        <v>1345</v>
      </c>
      <c r="B8" s="451" t="s">
        <v>1158</v>
      </c>
      <c r="C8" s="318" t="s">
        <v>1246</v>
      </c>
      <c r="D8" s="357" t="s">
        <v>17</v>
      </c>
      <c r="E8" s="318" t="s">
        <v>1223</v>
      </c>
      <c r="F8" s="357" t="s">
        <v>818</v>
      </c>
      <c r="G8" s="318" t="s">
        <v>1154</v>
      </c>
      <c r="H8" s="318"/>
      <c r="I8" s="318"/>
      <c r="J8" s="318"/>
      <c r="K8" s="318"/>
      <c r="L8" s="489">
        <v>30</v>
      </c>
      <c r="M8" s="318">
        <v>1992</v>
      </c>
      <c r="N8" s="318" t="s">
        <v>982</v>
      </c>
      <c r="O8" s="318">
        <f>M8</f>
        <v>1992</v>
      </c>
      <c r="P8" s="318" t="s">
        <v>982</v>
      </c>
      <c r="Q8" s="318"/>
      <c r="R8" s="318"/>
      <c r="S8" s="317">
        <f>AQ8</f>
        <v>36233.768856776645</v>
      </c>
      <c r="T8" s="317" t="s">
        <v>800</v>
      </c>
      <c r="U8" s="317">
        <f>AU8</f>
        <v>36233.768856776645</v>
      </c>
      <c r="V8" s="317">
        <f>S8-U8</f>
        <v>0</v>
      </c>
      <c r="W8" s="317">
        <f>AV8</f>
        <v>0</v>
      </c>
      <c r="X8" s="317">
        <f>V8-W8</f>
        <v>0</v>
      </c>
      <c r="Y8" s="317">
        <f>HLOOKUP($C$1,'Inflation Adjustments'!$BI$3:$BT$4,2)*AP8</f>
        <v>156741.04687499997</v>
      </c>
      <c r="Z8" s="317">
        <f>IF(AE8="In Service",'Maintenace Cost Assumptions'!$B$17*Y8,0)</f>
        <v>3134.8209374999997</v>
      </c>
      <c r="AA8" s="318">
        <v>4</v>
      </c>
      <c r="AB8" s="318">
        <v>4</v>
      </c>
      <c r="AC8" s="318"/>
      <c r="AD8" s="332">
        <f>(AA8*'Condition rating weights'!H$147+AB8*'Condition rating weights'!R$147+AC8*'Condition rating weights'!S$147)/100</f>
        <v>0.8</v>
      </c>
      <c r="AE8" s="454" t="s">
        <v>1430</v>
      </c>
      <c r="AF8" s="255" t="s">
        <v>1633</v>
      </c>
      <c r="AI8" s="306"/>
      <c r="AJ8" s="305"/>
      <c r="AK8" s="305"/>
      <c r="AL8" s="305"/>
      <c r="AM8" s="305"/>
      <c r="AN8" s="305"/>
      <c r="AO8" s="305"/>
      <c r="AP8" s="323">
        <f>15000*7</f>
        <v>105000</v>
      </c>
      <c r="AQ8" s="325">
        <f>(HLOOKUP($O8,'Inflation Adjustments'!$B$3:$BT$4,2,TRUE))*AP8</f>
        <v>36233.768856776645</v>
      </c>
      <c r="AR8" s="326">
        <f t="shared" si="0"/>
        <v>30</v>
      </c>
      <c r="AS8" s="323">
        <f>L8</f>
        <v>30</v>
      </c>
      <c r="AT8" s="327">
        <f t="shared" si="1"/>
        <v>1207.7922952258882</v>
      </c>
      <c r="AU8" s="323">
        <f t="shared" si="2"/>
        <v>36233.768856776645</v>
      </c>
      <c r="AV8" s="327">
        <f t="shared" ref="AV8:AV9" si="3">IF(AT8&lt;(AQ8-AU8),AT8,(AQ8-AU8))</f>
        <v>0</v>
      </c>
      <c r="AW8" s="447"/>
      <c r="AX8" s="447"/>
      <c r="AZ8" s="447"/>
      <c r="BA8" s="447"/>
      <c r="BB8" s="447"/>
      <c r="BE8" s="340"/>
      <c r="BF8" s="340"/>
      <c r="BG8" s="340"/>
      <c r="BH8" s="340"/>
      <c r="BI8" s="340"/>
      <c r="BJ8" s="341"/>
      <c r="BK8" s="341"/>
      <c r="BL8" s="341"/>
      <c r="BM8" s="341"/>
      <c r="BN8" s="341"/>
      <c r="BO8" s="341"/>
      <c r="BP8" s="341"/>
      <c r="BQ8" s="448"/>
      <c r="BR8" s="93"/>
      <c r="BS8" s="448"/>
      <c r="BT8" s="448"/>
      <c r="BU8" s="448"/>
      <c r="BV8" s="93"/>
      <c r="BW8" s="449"/>
      <c r="BX8" s="340"/>
      <c r="BY8" s="340"/>
      <c r="BZ8" s="340"/>
      <c r="CA8" s="340"/>
      <c r="CB8" s="340"/>
      <c r="CC8" s="449"/>
      <c r="CD8" s="340"/>
      <c r="CE8" s="340"/>
      <c r="CF8" s="340"/>
      <c r="CG8" s="340"/>
      <c r="CH8" s="341"/>
      <c r="CI8" s="449"/>
      <c r="CJ8" s="340"/>
      <c r="CK8" s="340"/>
      <c r="CL8" s="340"/>
      <c r="CM8" s="340"/>
      <c r="CN8" s="341"/>
      <c r="CO8" s="449"/>
      <c r="CP8" s="449"/>
      <c r="CQ8" s="341"/>
      <c r="CR8" s="449"/>
      <c r="CS8" s="449"/>
      <c r="CT8" s="341"/>
      <c r="CU8" s="450"/>
      <c r="CV8" s="450"/>
      <c r="CW8" s="340"/>
      <c r="CX8" s="450"/>
      <c r="CY8" s="450"/>
      <c r="CZ8" s="341"/>
      <c r="DB8" s="450"/>
      <c r="DC8" s="450"/>
      <c r="DD8" s="340"/>
      <c r="DE8" s="450"/>
      <c r="DF8" s="450"/>
      <c r="DG8" s="341"/>
      <c r="DH8" s="450"/>
      <c r="DI8" s="450"/>
      <c r="DJ8" s="449"/>
      <c r="DK8" s="449"/>
      <c r="DL8" s="449"/>
      <c r="DM8" s="450"/>
    </row>
    <row r="9" spans="1:117" ht="30" customHeight="1" x14ac:dyDescent="0.3">
      <c r="A9" s="330" t="s">
        <v>1346</v>
      </c>
      <c r="B9" s="451" t="s">
        <v>1159</v>
      </c>
      <c r="C9" s="318" t="s">
        <v>1246</v>
      </c>
      <c r="D9" s="357" t="s">
        <v>17</v>
      </c>
      <c r="E9" s="318" t="s">
        <v>18</v>
      </c>
      <c r="F9" s="357" t="s">
        <v>818</v>
      </c>
      <c r="G9" s="318" t="s">
        <v>1154</v>
      </c>
      <c r="H9" s="318"/>
      <c r="I9" s="318"/>
      <c r="J9" s="318"/>
      <c r="K9" s="318"/>
      <c r="L9" s="489">
        <v>30</v>
      </c>
      <c r="M9" s="318">
        <v>2015</v>
      </c>
      <c r="N9" s="318" t="s">
        <v>982</v>
      </c>
      <c r="O9" s="318">
        <f>M9</f>
        <v>2015</v>
      </c>
      <c r="P9" s="318" t="str">
        <f>N9</f>
        <v>Actual</v>
      </c>
      <c r="Q9" s="318"/>
      <c r="R9" s="318"/>
      <c r="S9" s="317">
        <f t="shared" ref="S9" si="4">AQ9</f>
        <v>85335.537731211574</v>
      </c>
      <c r="T9" s="317" t="s">
        <v>800</v>
      </c>
      <c r="U9" s="317">
        <f t="shared" ref="U9:U10" si="5">AU9</f>
        <v>19911.625470616036</v>
      </c>
      <c r="V9" s="317">
        <f t="shared" ref="V9:V10" si="6">S9-U9</f>
        <v>65423.912260595534</v>
      </c>
      <c r="W9" s="317">
        <f t="shared" ref="W9:W10" si="7">AV9</f>
        <v>2844.5179243737193</v>
      </c>
      <c r="X9" s="317">
        <f t="shared" ref="X9:X10" si="8">V9-W9</f>
        <v>62579.394336221812</v>
      </c>
      <c r="Y9" s="317">
        <f>HLOOKUP($C$1,'Inflation Adjustments'!$BI$3:$BT$4,2)*AP9</f>
        <v>149277.1875</v>
      </c>
      <c r="Z9" s="317">
        <f>IF(AE9="In Service",'Maintenace Cost Assumptions'!$B$17*Y9,0)</f>
        <v>2985.5437500000003</v>
      </c>
      <c r="AA9" s="318">
        <v>4</v>
      </c>
      <c r="AB9" s="318">
        <v>4</v>
      </c>
      <c r="AC9" s="318"/>
      <c r="AD9" s="332">
        <f>(AA9*'Condition rating weights'!H$147+AB9*'Condition rating weights'!R$147+AC9*'Condition rating weights'!S$147)/100</f>
        <v>0.8</v>
      </c>
      <c r="AE9" s="454" t="s">
        <v>1430</v>
      </c>
      <c r="AF9" s="255"/>
      <c r="AI9" s="306"/>
      <c r="AJ9" s="305"/>
      <c r="AK9" s="305"/>
      <c r="AL9" s="305"/>
      <c r="AM9" s="305"/>
      <c r="AN9" s="305"/>
      <c r="AO9" s="305"/>
      <c r="AP9" s="323">
        <v>100000</v>
      </c>
      <c r="AQ9" s="325">
        <f>(HLOOKUP($O9,'Inflation Adjustments'!$B$3:$BT$4,2,TRUE))*AP9</f>
        <v>85335.537731211574</v>
      </c>
      <c r="AR9" s="326">
        <f t="shared" si="0"/>
        <v>7</v>
      </c>
      <c r="AS9" s="323">
        <f>L9</f>
        <v>30</v>
      </c>
      <c r="AT9" s="327">
        <f t="shared" si="1"/>
        <v>2844.5179243737193</v>
      </c>
      <c r="AU9" s="323">
        <f t="shared" si="2"/>
        <v>19911.625470616036</v>
      </c>
      <c r="AV9" s="327">
        <f t="shared" si="3"/>
        <v>2844.5179243737193</v>
      </c>
      <c r="AZ9" s="447"/>
      <c r="BA9" s="447"/>
      <c r="BB9" s="447"/>
      <c r="BE9" s="340"/>
      <c r="BF9" s="340"/>
      <c r="BG9" s="340"/>
      <c r="BH9" s="340"/>
      <c r="BI9" s="340"/>
      <c r="BJ9" s="341"/>
      <c r="BK9" s="341"/>
      <c r="BL9" s="341"/>
      <c r="BM9" s="341"/>
      <c r="BN9" s="341"/>
      <c r="BO9" s="341"/>
      <c r="BP9" s="341"/>
      <c r="BQ9" s="448"/>
      <c r="BR9" s="93"/>
      <c r="BS9" s="448"/>
      <c r="BT9" s="448"/>
      <c r="BU9" s="448"/>
      <c r="BV9" s="93"/>
      <c r="BW9" s="449"/>
      <c r="BX9" s="340"/>
      <c r="BY9" s="340"/>
      <c r="BZ9" s="340"/>
      <c r="CA9" s="340"/>
      <c r="CB9" s="340"/>
      <c r="CC9" s="449"/>
      <c r="CD9" s="340"/>
      <c r="CE9" s="340"/>
      <c r="CF9" s="340"/>
      <c r="CG9" s="340"/>
      <c r="CH9" s="341"/>
      <c r="CI9" s="449"/>
      <c r="CJ9" s="340"/>
      <c r="CK9" s="340"/>
      <c r="CL9" s="340"/>
      <c r="CM9" s="340"/>
      <c r="CN9" s="341"/>
      <c r="CO9" s="449"/>
      <c r="CP9" s="449"/>
      <c r="CQ9" s="341"/>
      <c r="CR9" s="449"/>
      <c r="CS9" s="449"/>
      <c r="CT9" s="341"/>
      <c r="CU9" s="450"/>
      <c r="CV9" s="450"/>
      <c r="CW9" s="340"/>
      <c r="CX9" s="450"/>
      <c r="CY9" s="450"/>
      <c r="CZ9" s="341"/>
      <c r="DB9" s="450"/>
      <c r="DC9" s="450"/>
      <c r="DD9" s="340"/>
      <c r="DE9" s="450"/>
      <c r="DF9" s="450"/>
      <c r="DG9" s="341"/>
      <c r="DH9" s="450"/>
      <c r="DI9" s="450"/>
      <c r="DJ9" s="449"/>
      <c r="DK9" s="449"/>
      <c r="DL9" s="449"/>
      <c r="DM9" s="450"/>
    </row>
    <row r="10" spans="1:117" ht="30" customHeight="1" x14ac:dyDescent="0.3">
      <c r="A10" s="330" t="s">
        <v>1347</v>
      </c>
      <c r="B10" s="451" t="s">
        <v>1160</v>
      </c>
      <c r="C10" s="318" t="s">
        <v>1246</v>
      </c>
      <c r="D10" s="357" t="s">
        <v>17</v>
      </c>
      <c r="E10" s="318" t="s">
        <v>18</v>
      </c>
      <c r="F10" s="357" t="s">
        <v>818</v>
      </c>
      <c r="G10" s="318" t="s">
        <v>1154</v>
      </c>
      <c r="H10" s="318"/>
      <c r="I10" s="318"/>
      <c r="J10" s="318"/>
      <c r="K10" s="318"/>
      <c r="L10" s="489">
        <v>30</v>
      </c>
      <c r="M10" s="318">
        <v>2015</v>
      </c>
      <c r="N10" s="318" t="s">
        <v>982</v>
      </c>
      <c r="O10" s="318">
        <v>2015</v>
      </c>
      <c r="P10" s="318" t="s">
        <v>982</v>
      </c>
      <c r="Q10" s="318"/>
      <c r="R10" s="318"/>
      <c r="S10" s="317">
        <f>AQ10</f>
        <v>810687.60844650993</v>
      </c>
      <c r="T10" s="317" t="s">
        <v>800</v>
      </c>
      <c r="U10" s="317">
        <f t="shared" si="5"/>
        <v>189160.44197085232</v>
      </c>
      <c r="V10" s="317">
        <f t="shared" si="6"/>
        <v>621527.16647565761</v>
      </c>
      <c r="W10" s="317">
        <f t="shared" si="7"/>
        <v>27022.92028155033</v>
      </c>
      <c r="X10" s="317">
        <f t="shared" si="8"/>
        <v>594504.24619410723</v>
      </c>
      <c r="Y10" s="317">
        <f>HLOOKUP($C$1,'Inflation Adjustments'!$BI$3:$BT$4,2)*AP10</f>
        <v>1418133.2812499998</v>
      </c>
      <c r="Z10" s="317">
        <f>IF(AE10="In Service",'Maintenace Cost Assumptions'!$B$17*Y10,0)</f>
        <v>28362.665624999994</v>
      </c>
      <c r="AA10" s="318">
        <v>4</v>
      </c>
      <c r="AB10" s="318">
        <v>4</v>
      </c>
      <c r="AC10" s="318"/>
      <c r="AD10" s="332">
        <f>(AA10*'Condition rating weights'!H$147+AB10*'Condition rating weights'!R$147+AC10*'Condition rating weights'!S$147)/100</f>
        <v>0.8</v>
      </c>
      <c r="AE10" s="454" t="s">
        <v>1430</v>
      </c>
      <c r="AF10" s="255"/>
      <c r="AI10" s="306"/>
      <c r="AJ10" s="305"/>
      <c r="AK10" s="305"/>
      <c r="AL10" s="305"/>
      <c r="AM10" s="305"/>
      <c r="AN10" s="305"/>
      <c r="AO10" s="305"/>
      <c r="AP10" s="323">
        <v>950000</v>
      </c>
      <c r="AQ10" s="325">
        <f>(HLOOKUP($O10,'Inflation Adjustments'!$B$3:$BT$4,2,TRUE))*AP10</f>
        <v>810687.60844650993</v>
      </c>
      <c r="AR10" s="326">
        <f t="shared" si="0"/>
        <v>7</v>
      </c>
      <c r="AS10" s="323">
        <f>L10</f>
        <v>30</v>
      </c>
      <c r="AT10" s="327">
        <f t="shared" si="1"/>
        <v>27022.92028155033</v>
      </c>
      <c r="AU10" s="323">
        <f t="shared" si="2"/>
        <v>189160.44197085232</v>
      </c>
      <c r="AV10" s="327">
        <f>IF(AT10&lt;(AQ10-AU10),AT10,(AQ10-AU10))</f>
        <v>27022.92028155033</v>
      </c>
      <c r="BE10" s="340"/>
      <c r="BF10" s="340"/>
      <c r="BG10" s="340"/>
      <c r="BH10" s="340"/>
      <c r="BI10" s="340"/>
      <c r="BJ10" s="341"/>
      <c r="BK10" s="341"/>
      <c r="BL10" s="341"/>
      <c r="BM10" s="341"/>
      <c r="BN10" s="341"/>
      <c r="BO10" s="341"/>
      <c r="BP10" s="341"/>
      <c r="BQ10" s="448"/>
      <c r="BR10" s="93"/>
      <c r="BS10" s="448"/>
      <c r="BT10" s="448"/>
      <c r="BU10" s="448"/>
      <c r="BV10" s="93"/>
      <c r="BW10" s="449"/>
      <c r="BX10" s="340"/>
      <c r="BY10" s="340"/>
      <c r="BZ10" s="340"/>
      <c r="CA10" s="340"/>
      <c r="CB10" s="340"/>
      <c r="CC10" s="449"/>
      <c r="CD10" s="340"/>
      <c r="CE10" s="340"/>
      <c r="CF10" s="340"/>
      <c r="CG10" s="340"/>
      <c r="CH10" s="341"/>
      <c r="CI10" s="449"/>
      <c r="CJ10" s="340"/>
      <c r="CK10" s="340"/>
      <c r="CL10" s="340"/>
      <c r="CM10" s="340"/>
      <c r="CN10" s="341"/>
      <c r="CO10" s="449"/>
      <c r="CP10" s="449"/>
      <c r="CQ10" s="341"/>
      <c r="CR10" s="449"/>
      <c r="CS10" s="449"/>
      <c r="CT10" s="341"/>
      <c r="CU10" s="450"/>
      <c r="CV10" s="450"/>
      <c r="CW10" s="340"/>
      <c r="CX10" s="450"/>
      <c r="CY10" s="450"/>
      <c r="CZ10" s="341"/>
      <c r="DB10" s="450"/>
      <c r="DC10" s="450"/>
      <c r="DD10" s="340"/>
      <c r="DE10" s="450"/>
      <c r="DF10" s="450"/>
      <c r="DG10" s="341"/>
      <c r="DH10" s="450"/>
      <c r="DI10" s="450"/>
      <c r="DJ10" s="449"/>
      <c r="DK10" s="449"/>
      <c r="DL10" s="449"/>
      <c r="DM10" s="450"/>
    </row>
    <row r="11" spans="1:117" ht="30" customHeight="1" x14ac:dyDescent="0.3">
      <c r="A11" s="330"/>
      <c r="B11" s="451"/>
      <c r="C11" s="318"/>
      <c r="D11" s="318"/>
      <c r="E11" s="318"/>
      <c r="F11" s="318"/>
      <c r="G11" s="318"/>
      <c r="H11" s="318"/>
      <c r="I11" s="318"/>
      <c r="J11" s="318"/>
      <c r="K11" s="318"/>
      <c r="L11" s="489"/>
      <c r="M11" s="318"/>
      <c r="N11" s="318"/>
      <c r="O11" s="318"/>
      <c r="P11" s="318"/>
      <c r="Q11" s="318"/>
      <c r="R11" s="318"/>
      <c r="S11" s="489"/>
      <c r="T11" s="318"/>
      <c r="U11" s="317"/>
      <c r="V11" s="317"/>
      <c r="W11" s="317"/>
      <c r="X11" s="317"/>
      <c r="Y11" s="317"/>
      <c r="Z11" s="317"/>
      <c r="AA11" s="318"/>
      <c r="AB11" s="318"/>
      <c r="AC11" s="318"/>
      <c r="AD11" s="318"/>
      <c r="AE11" s="454"/>
      <c r="AF11" s="255"/>
      <c r="AI11" s="306"/>
      <c r="AJ11" s="305"/>
      <c r="AK11" s="305"/>
      <c r="AL11" s="305"/>
      <c r="AM11" s="305"/>
      <c r="AN11" s="305"/>
      <c r="AO11" s="305"/>
      <c r="AP11" s="323"/>
      <c r="AQ11" s="325"/>
      <c r="AR11" s="326"/>
      <c r="AS11" s="323"/>
      <c r="AT11" s="327"/>
      <c r="AU11" s="323"/>
      <c r="AV11" s="327"/>
      <c r="BE11" s="340"/>
      <c r="BF11" s="340"/>
      <c r="BG11" s="340"/>
      <c r="BH11" s="340"/>
      <c r="BI11" s="340"/>
      <c r="BJ11" s="341"/>
      <c r="BK11" s="341"/>
      <c r="BL11" s="341"/>
      <c r="BM11" s="341"/>
      <c r="BN11" s="341"/>
      <c r="BO11" s="341"/>
      <c r="BP11" s="341"/>
      <c r="BQ11" s="448"/>
      <c r="BR11" s="93"/>
      <c r="BS11" s="448"/>
      <c r="BT11" s="448"/>
      <c r="BU11" s="448"/>
      <c r="BV11" s="93"/>
      <c r="BW11" s="449"/>
      <c r="BX11" s="340"/>
      <c r="BY11" s="340"/>
      <c r="BZ11" s="340"/>
      <c r="CA11" s="340"/>
      <c r="CB11" s="340"/>
      <c r="CC11" s="449"/>
      <c r="CD11" s="340"/>
      <c r="CE11" s="340"/>
      <c r="CF11" s="340"/>
      <c r="CG11" s="340"/>
      <c r="CH11" s="341"/>
      <c r="CI11" s="449"/>
      <c r="CJ11" s="340"/>
      <c r="CK11" s="340"/>
      <c r="CL11" s="340"/>
      <c r="CM11" s="340"/>
      <c r="CN11" s="341"/>
      <c r="CO11" s="449"/>
      <c r="CP11" s="449"/>
      <c r="CQ11" s="341"/>
      <c r="CR11" s="449"/>
      <c r="CS11" s="449"/>
      <c r="CT11" s="341"/>
      <c r="CU11" s="450"/>
      <c r="CV11" s="450"/>
      <c r="CW11" s="340"/>
      <c r="CX11" s="450"/>
      <c r="CY11" s="450"/>
      <c r="CZ11" s="341"/>
      <c r="DB11" s="450"/>
      <c r="DC11" s="450"/>
      <c r="DD11" s="340"/>
      <c r="DE11" s="450"/>
      <c r="DF11" s="450"/>
      <c r="DG11" s="341"/>
      <c r="DH11" s="450"/>
      <c r="DI11" s="450"/>
      <c r="DJ11" s="449"/>
      <c r="DK11" s="449"/>
      <c r="DL11" s="449"/>
      <c r="DM11" s="450"/>
    </row>
    <row r="12" spans="1:117" ht="30" customHeight="1" x14ac:dyDescent="0.3">
      <c r="A12" s="330"/>
      <c r="B12" s="451"/>
      <c r="C12" s="318"/>
      <c r="D12" s="318"/>
      <c r="E12" s="318"/>
      <c r="F12" s="318"/>
      <c r="G12" s="318"/>
      <c r="H12" s="318"/>
      <c r="I12" s="318"/>
      <c r="J12" s="318"/>
      <c r="K12" s="318"/>
      <c r="L12" s="489"/>
      <c r="M12" s="318"/>
      <c r="N12" s="318"/>
      <c r="O12" s="318"/>
      <c r="P12" s="318"/>
      <c r="Q12" s="318"/>
      <c r="R12" s="318"/>
      <c r="S12" s="489"/>
      <c r="T12" s="318"/>
      <c r="U12" s="317"/>
      <c r="V12" s="317"/>
      <c r="W12" s="317"/>
      <c r="X12" s="317"/>
      <c r="Y12" s="317"/>
      <c r="Z12" s="317"/>
      <c r="AA12" s="318"/>
      <c r="AB12" s="318"/>
      <c r="AC12" s="318"/>
      <c r="AD12" s="318"/>
      <c r="AE12" s="454"/>
      <c r="AF12" s="255"/>
      <c r="AI12" s="306"/>
      <c r="AJ12" s="305"/>
      <c r="AK12" s="305"/>
      <c r="AL12" s="305"/>
      <c r="AM12" s="305"/>
      <c r="AN12" s="305"/>
      <c r="AO12" s="305"/>
      <c r="AP12" s="323"/>
      <c r="AQ12" s="325"/>
      <c r="AR12" s="326"/>
      <c r="AS12" s="323"/>
      <c r="AT12" s="327"/>
      <c r="AU12" s="323"/>
      <c r="AV12" s="327"/>
      <c r="AX12" s="290"/>
      <c r="BE12" s="340"/>
      <c r="BF12" s="340"/>
      <c r="BG12" s="340"/>
      <c r="BH12" s="340"/>
      <c r="BI12" s="340"/>
      <c r="BJ12" s="341"/>
      <c r="BK12" s="341"/>
      <c r="BL12" s="341"/>
      <c r="BM12" s="341"/>
      <c r="BN12" s="341"/>
      <c r="BO12" s="341"/>
      <c r="BP12" s="341"/>
      <c r="BQ12" s="448"/>
      <c r="BR12" s="93"/>
      <c r="BS12" s="448"/>
      <c r="BT12" s="448"/>
      <c r="BU12" s="448"/>
      <c r="BV12" s="93"/>
      <c r="BW12" s="449"/>
      <c r="BX12" s="340"/>
      <c r="BY12" s="340"/>
      <c r="BZ12" s="340"/>
      <c r="CA12" s="340"/>
      <c r="CB12" s="340"/>
      <c r="CC12" s="449"/>
      <c r="CD12" s="340"/>
      <c r="CE12" s="340"/>
      <c r="CF12" s="340"/>
      <c r="CG12" s="340"/>
      <c r="CH12" s="341"/>
      <c r="CI12" s="449"/>
      <c r="CJ12" s="340"/>
      <c r="CK12" s="340"/>
      <c r="CL12" s="340"/>
      <c r="CM12" s="340"/>
      <c r="CN12" s="341"/>
      <c r="CO12" s="449"/>
      <c r="CP12" s="449"/>
      <c r="CQ12" s="341"/>
      <c r="CR12" s="449"/>
      <c r="CS12" s="449"/>
      <c r="CT12" s="341"/>
      <c r="CU12" s="450"/>
      <c r="CV12" s="450"/>
      <c r="CW12" s="340"/>
      <c r="CX12" s="450"/>
      <c r="CY12" s="450"/>
      <c r="CZ12" s="341"/>
      <c r="DB12" s="450"/>
      <c r="DC12" s="450"/>
      <c r="DD12" s="340"/>
      <c r="DE12" s="450"/>
      <c r="DF12" s="450"/>
      <c r="DG12" s="341"/>
      <c r="DH12" s="450"/>
      <c r="DI12" s="450"/>
      <c r="DJ12" s="449"/>
      <c r="DK12" s="449"/>
      <c r="DL12" s="449"/>
      <c r="DM12" s="450"/>
    </row>
    <row r="13" spans="1:117" ht="30" customHeight="1" x14ac:dyDescent="0.3">
      <c r="A13" s="330"/>
      <c r="B13" s="451"/>
      <c r="C13" s="318"/>
      <c r="D13" s="318"/>
      <c r="E13" s="318"/>
      <c r="F13" s="318"/>
      <c r="G13" s="318"/>
      <c r="H13" s="318"/>
      <c r="I13" s="318"/>
      <c r="J13" s="318"/>
      <c r="K13" s="318"/>
      <c r="L13" s="318"/>
      <c r="M13" s="318"/>
      <c r="N13" s="318"/>
      <c r="O13" s="318"/>
      <c r="P13" s="318"/>
      <c r="Q13" s="318"/>
      <c r="R13" s="318"/>
      <c r="S13" s="489"/>
      <c r="T13" s="318"/>
      <c r="U13" s="317"/>
      <c r="V13" s="317"/>
      <c r="W13" s="317"/>
      <c r="X13" s="317"/>
      <c r="Y13" s="317"/>
      <c r="Z13" s="317"/>
      <c r="AA13" s="318"/>
      <c r="AB13" s="318"/>
      <c r="AC13" s="318"/>
      <c r="AD13" s="318"/>
      <c r="AE13" s="454"/>
      <c r="AF13" s="255"/>
      <c r="AI13" s="306"/>
      <c r="AJ13" s="305"/>
      <c r="AK13" s="305"/>
      <c r="AL13" s="305"/>
      <c r="AM13" s="305"/>
      <c r="AN13" s="305"/>
      <c r="AO13" s="305"/>
      <c r="AP13" s="323"/>
      <c r="AQ13" s="325"/>
      <c r="AR13" s="326"/>
      <c r="AS13" s="323"/>
      <c r="AT13" s="327"/>
      <c r="AU13" s="323"/>
      <c r="AV13" s="327"/>
      <c r="BE13" s="340"/>
      <c r="BF13" s="340"/>
      <c r="BG13" s="340"/>
      <c r="BH13" s="340"/>
      <c r="BI13" s="340"/>
      <c r="BJ13" s="341"/>
      <c r="BK13" s="341"/>
      <c r="BL13" s="341"/>
      <c r="BM13" s="341"/>
      <c r="BN13" s="341"/>
      <c r="BO13" s="341"/>
      <c r="BP13" s="341"/>
      <c r="BQ13" s="448"/>
      <c r="BR13" s="93"/>
      <c r="BS13" s="448"/>
      <c r="BT13" s="448"/>
      <c r="BU13" s="448"/>
      <c r="BV13" s="93"/>
      <c r="BW13" s="449"/>
      <c r="BX13" s="340"/>
      <c r="BY13" s="340"/>
      <c r="BZ13" s="340"/>
      <c r="CA13" s="340"/>
      <c r="CB13" s="340"/>
      <c r="CC13" s="449"/>
      <c r="CD13" s="340"/>
      <c r="CE13" s="340"/>
      <c r="CF13" s="340"/>
      <c r="CG13" s="340"/>
      <c r="CH13" s="341"/>
      <c r="CI13" s="449"/>
      <c r="CJ13" s="340"/>
      <c r="CK13" s="340"/>
      <c r="CL13" s="340"/>
      <c r="CM13" s="340"/>
      <c r="CN13" s="341"/>
      <c r="CO13" s="449"/>
      <c r="CP13" s="449"/>
      <c r="CQ13" s="341"/>
      <c r="CR13" s="449"/>
      <c r="CS13" s="449"/>
      <c r="CT13" s="341"/>
      <c r="CU13" s="450"/>
      <c r="CV13" s="450"/>
      <c r="CW13" s="340"/>
      <c r="CX13" s="450"/>
      <c r="CY13" s="450"/>
      <c r="CZ13" s="341"/>
      <c r="DB13" s="450"/>
      <c r="DC13" s="450"/>
      <c r="DD13" s="340"/>
      <c r="DE13" s="450"/>
      <c r="DF13" s="450"/>
      <c r="DG13" s="341"/>
      <c r="DH13" s="450"/>
      <c r="DI13" s="450"/>
      <c r="DJ13" s="449"/>
      <c r="DK13" s="449"/>
      <c r="DL13" s="449"/>
      <c r="DM13" s="450"/>
    </row>
    <row r="14" spans="1:117" ht="30" customHeight="1" x14ac:dyDescent="0.3">
      <c r="A14" s="330"/>
      <c r="B14" s="451"/>
      <c r="C14" s="318"/>
      <c r="D14" s="318"/>
      <c r="E14" s="318"/>
      <c r="F14" s="318"/>
      <c r="G14" s="318"/>
      <c r="H14" s="318"/>
      <c r="I14" s="318"/>
      <c r="J14" s="318"/>
      <c r="K14" s="318"/>
      <c r="L14" s="318"/>
      <c r="M14" s="318"/>
      <c r="N14" s="318"/>
      <c r="O14" s="318"/>
      <c r="P14" s="318"/>
      <c r="Q14" s="318"/>
      <c r="R14" s="318"/>
      <c r="S14" s="489"/>
      <c r="T14" s="318"/>
      <c r="U14" s="317"/>
      <c r="V14" s="317"/>
      <c r="W14" s="317"/>
      <c r="X14" s="317"/>
      <c r="Y14" s="317"/>
      <c r="Z14" s="317"/>
      <c r="AA14" s="318"/>
      <c r="AB14" s="318"/>
      <c r="AC14" s="318"/>
      <c r="AD14" s="318"/>
      <c r="AE14" s="454"/>
      <c r="AF14" s="255"/>
      <c r="AI14" s="306"/>
      <c r="AJ14" s="305"/>
      <c r="AK14" s="305"/>
      <c r="AL14" s="305"/>
      <c r="AM14" s="305"/>
      <c r="AN14" s="305"/>
      <c r="AO14" s="305"/>
      <c r="AP14" s="323"/>
      <c r="AQ14" s="325"/>
      <c r="AR14" s="326"/>
      <c r="AS14" s="323"/>
      <c r="AT14" s="327"/>
      <c r="AU14" s="323"/>
      <c r="AV14" s="327"/>
      <c r="BE14" s="340"/>
      <c r="BF14" s="340"/>
      <c r="BG14" s="340"/>
      <c r="BH14" s="340"/>
      <c r="BI14" s="340"/>
      <c r="BJ14" s="341"/>
      <c r="BK14" s="341"/>
      <c r="BL14" s="341"/>
      <c r="BM14" s="341"/>
      <c r="BN14" s="341"/>
      <c r="BO14" s="341"/>
      <c r="BP14" s="341"/>
      <c r="BQ14" s="448"/>
      <c r="BR14" s="93"/>
      <c r="BS14" s="448"/>
      <c r="BT14" s="448"/>
      <c r="BU14" s="448"/>
      <c r="BV14" s="93"/>
      <c r="BW14" s="449"/>
      <c r="BX14" s="340"/>
      <c r="BY14" s="340"/>
      <c r="BZ14" s="340"/>
      <c r="CA14" s="340"/>
      <c r="CB14" s="340"/>
      <c r="CC14" s="449"/>
      <c r="CD14" s="340"/>
      <c r="CE14" s="340"/>
      <c r="CF14" s="340"/>
      <c r="CG14" s="340"/>
      <c r="CH14" s="341"/>
      <c r="CI14" s="449"/>
      <c r="CJ14" s="340"/>
      <c r="CK14" s="340"/>
      <c r="CL14" s="340"/>
      <c r="CM14" s="340"/>
      <c r="CN14" s="341"/>
      <c r="CO14" s="449"/>
      <c r="CP14" s="449"/>
      <c r="CQ14" s="341"/>
      <c r="CR14" s="449"/>
      <c r="CS14" s="449"/>
      <c r="CT14" s="341"/>
      <c r="CU14" s="450"/>
      <c r="CV14" s="450"/>
      <c r="CW14" s="340"/>
      <c r="CX14" s="450"/>
      <c r="CY14" s="450"/>
      <c r="CZ14" s="341"/>
      <c r="DB14" s="450"/>
      <c r="DC14" s="450"/>
      <c r="DD14" s="340"/>
      <c r="DE14" s="450"/>
      <c r="DF14" s="450"/>
      <c r="DG14" s="341"/>
      <c r="DH14" s="450"/>
      <c r="DI14" s="450"/>
      <c r="DJ14" s="449"/>
      <c r="DK14" s="449"/>
      <c r="DL14" s="449"/>
      <c r="DM14" s="450"/>
    </row>
    <row r="15" spans="1:117" ht="30" customHeight="1" x14ac:dyDescent="0.3">
      <c r="A15" s="330"/>
      <c r="B15" s="451"/>
      <c r="C15" s="318"/>
      <c r="D15" s="318"/>
      <c r="E15" s="318"/>
      <c r="F15" s="318"/>
      <c r="G15" s="318"/>
      <c r="H15" s="318"/>
      <c r="I15" s="318"/>
      <c r="J15" s="318"/>
      <c r="K15" s="318"/>
      <c r="L15" s="318"/>
      <c r="M15" s="318"/>
      <c r="N15" s="318"/>
      <c r="O15" s="318"/>
      <c r="P15" s="318"/>
      <c r="Q15" s="318"/>
      <c r="R15" s="318"/>
      <c r="S15" s="489"/>
      <c r="T15" s="318"/>
      <c r="U15" s="317"/>
      <c r="V15" s="317"/>
      <c r="W15" s="317"/>
      <c r="X15" s="317"/>
      <c r="Y15" s="317"/>
      <c r="Z15" s="317"/>
      <c r="AA15" s="318"/>
      <c r="AB15" s="318"/>
      <c r="AC15" s="318"/>
      <c r="AD15" s="318"/>
      <c r="AE15" s="454"/>
      <c r="AF15" s="255"/>
      <c r="AM15" s="290"/>
      <c r="AP15" s="323"/>
      <c r="AQ15" s="325"/>
      <c r="AR15" s="326"/>
      <c r="AS15" s="323"/>
      <c r="AT15" s="327"/>
      <c r="AU15" s="323"/>
      <c r="AV15" s="327"/>
      <c r="BE15" s="340"/>
      <c r="BF15" s="340"/>
      <c r="BG15" s="340"/>
      <c r="BH15" s="340"/>
      <c r="BI15" s="340"/>
      <c r="BJ15" s="341"/>
      <c r="BK15" s="341"/>
      <c r="BL15" s="341"/>
      <c r="BM15" s="341"/>
      <c r="BN15" s="341"/>
      <c r="BO15" s="341"/>
      <c r="BP15" s="341"/>
      <c r="BQ15" s="448"/>
      <c r="BR15" s="93"/>
      <c r="BS15" s="448"/>
      <c r="BT15" s="448"/>
      <c r="BU15" s="448"/>
      <c r="BV15" s="93"/>
      <c r="BW15" s="449"/>
      <c r="BX15" s="340"/>
      <c r="BY15" s="340"/>
      <c r="BZ15" s="340"/>
      <c r="CA15" s="340"/>
      <c r="CB15" s="340"/>
      <c r="CC15" s="449"/>
      <c r="CD15" s="340"/>
      <c r="CE15" s="340"/>
      <c r="CF15" s="340"/>
      <c r="CG15" s="340"/>
      <c r="CH15" s="341"/>
      <c r="CI15" s="449"/>
      <c r="CJ15" s="340"/>
      <c r="CK15" s="340"/>
      <c r="CL15" s="340"/>
      <c r="CM15" s="340"/>
      <c r="CN15" s="341"/>
      <c r="CO15" s="449"/>
      <c r="CP15" s="449"/>
      <c r="CQ15" s="341"/>
      <c r="CR15" s="449"/>
      <c r="CS15" s="449"/>
      <c r="CT15" s="341"/>
      <c r="CU15" s="450"/>
      <c r="CV15" s="450"/>
      <c r="CW15" s="340"/>
      <c r="CX15" s="450"/>
      <c r="CY15" s="450"/>
      <c r="CZ15" s="341"/>
      <c r="DB15" s="450"/>
      <c r="DC15" s="450"/>
      <c r="DD15" s="340"/>
      <c r="DE15" s="450"/>
      <c r="DF15" s="450"/>
      <c r="DG15" s="341"/>
      <c r="DH15" s="450"/>
      <c r="DI15" s="450"/>
      <c r="DJ15" s="449"/>
      <c r="DK15" s="449"/>
      <c r="DL15" s="449"/>
      <c r="DM15" s="450"/>
    </row>
    <row r="16" spans="1:117" ht="31" customHeight="1" x14ac:dyDescent="0.3">
      <c r="A16" s="330"/>
      <c r="B16" s="451"/>
      <c r="C16" s="318"/>
      <c r="D16" s="318"/>
      <c r="E16" s="318"/>
      <c r="F16" s="318"/>
      <c r="G16" s="318"/>
      <c r="H16" s="318"/>
      <c r="I16" s="318"/>
      <c r="J16" s="318"/>
      <c r="K16" s="318"/>
      <c r="L16" s="318"/>
      <c r="M16" s="318"/>
      <c r="N16" s="318"/>
      <c r="O16" s="318"/>
      <c r="P16" s="318"/>
      <c r="Q16" s="318"/>
      <c r="R16" s="318"/>
      <c r="S16" s="489"/>
      <c r="T16" s="318"/>
      <c r="U16" s="317"/>
      <c r="V16" s="317"/>
      <c r="W16" s="317"/>
      <c r="X16" s="317"/>
      <c r="Y16" s="317"/>
      <c r="Z16" s="317"/>
      <c r="AA16" s="318"/>
      <c r="AB16" s="318"/>
      <c r="AC16" s="318"/>
      <c r="AD16" s="318"/>
      <c r="AE16" s="454"/>
      <c r="AF16" s="255"/>
      <c r="AP16" s="323"/>
      <c r="AQ16" s="325"/>
      <c r="AR16" s="326"/>
      <c r="AS16" s="323"/>
      <c r="AT16" s="327"/>
      <c r="AU16" s="323"/>
      <c r="AV16" s="327"/>
      <c r="BE16" s="340"/>
      <c r="BF16" s="340"/>
      <c r="BG16" s="340"/>
      <c r="BH16" s="340"/>
      <c r="BI16" s="340"/>
      <c r="BJ16" s="341"/>
      <c r="BK16" s="341"/>
      <c r="BL16" s="341"/>
      <c r="BM16" s="341"/>
      <c r="BN16" s="341"/>
      <c r="BO16" s="341"/>
      <c r="BP16" s="341"/>
      <c r="BQ16" s="448"/>
      <c r="BR16" s="93"/>
      <c r="BS16" s="448"/>
      <c r="BT16" s="448"/>
      <c r="BU16" s="448"/>
      <c r="BV16" s="93"/>
      <c r="BW16" s="449"/>
      <c r="BX16" s="340"/>
      <c r="BY16" s="340"/>
      <c r="BZ16" s="340"/>
      <c r="CA16" s="340"/>
      <c r="CB16" s="340"/>
      <c r="CC16" s="449"/>
      <c r="CD16" s="340"/>
      <c r="CE16" s="340"/>
      <c r="CF16" s="340"/>
      <c r="CG16" s="340"/>
      <c r="CH16" s="341"/>
      <c r="CI16" s="449"/>
      <c r="CJ16" s="340"/>
      <c r="CK16" s="340"/>
      <c r="CL16" s="340"/>
      <c r="CM16" s="340"/>
      <c r="CN16" s="341"/>
      <c r="CO16" s="449"/>
      <c r="CP16" s="449"/>
      <c r="CQ16" s="341"/>
      <c r="CR16" s="449"/>
      <c r="CS16" s="449"/>
      <c r="CT16" s="341"/>
      <c r="CU16" s="450"/>
      <c r="CV16" s="450"/>
      <c r="CW16" s="340"/>
      <c r="CX16" s="450"/>
      <c r="CY16" s="450"/>
      <c r="CZ16" s="341"/>
      <c r="DB16" s="450"/>
      <c r="DC16" s="450"/>
      <c r="DD16" s="340"/>
      <c r="DE16" s="450"/>
      <c r="DF16" s="450"/>
      <c r="DG16" s="341"/>
      <c r="DH16" s="450"/>
      <c r="DI16" s="450"/>
      <c r="DJ16" s="449"/>
      <c r="DK16" s="449"/>
      <c r="DL16" s="449"/>
      <c r="DM16" s="450"/>
    </row>
    <row r="17" spans="1:117" ht="39" customHeight="1" x14ac:dyDescent="0.3">
      <c r="A17" s="330"/>
      <c r="B17" s="451"/>
      <c r="C17" s="318"/>
      <c r="D17" s="318"/>
      <c r="E17" s="318"/>
      <c r="F17" s="318"/>
      <c r="G17" s="318"/>
      <c r="H17" s="318"/>
      <c r="I17" s="318"/>
      <c r="J17" s="318"/>
      <c r="K17" s="318"/>
      <c r="L17" s="318"/>
      <c r="M17" s="318"/>
      <c r="N17" s="318"/>
      <c r="O17" s="318"/>
      <c r="P17" s="318"/>
      <c r="Q17" s="318"/>
      <c r="R17" s="318"/>
      <c r="S17" s="489"/>
      <c r="T17" s="318"/>
      <c r="U17" s="317"/>
      <c r="V17" s="317"/>
      <c r="W17" s="317"/>
      <c r="X17" s="317"/>
      <c r="Y17" s="317"/>
      <c r="Z17" s="317"/>
      <c r="AA17" s="318"/>
      <c r="AB17" s="318"/>
      <c r="AC17" s="318"/>
      <c r="AD17" s="318"/>
      <c r="AE17" s="454"/>
      <c r="AF17" s="255"/>
      <c r="AP17" s="323"/>
      <c r="AQ17" s="325"/>
      <c r="AR17" s="326"/>
      <c r="AS17" s="323"/>
      <c r="AT17" s="327"/>
      <c r="AU17" s="323"/>
      <c r="AV17" s="327"/>
      <c r="BE17" s="340"/>
      <c r="BF17" s="340"/>
      <c r="BG17" s="340"/>
      <c r="BH17" s="340"/>
      <c r="BI17" s="340"/>
      <c r="BJ17" s="341"/>
      <c r="BK17" s="341"/>
      <c r="BL17" s="341"/>
      <c r="BM17" s="341"/>
      <c r="BN17" s="341"/>
      <c r="BO17" s="341"/>
      <c r="BP17" s="341"/>
      <c r="BQ17" s="448"/>
      <c r="BR17" s="93"/>
      <c r="BS17" s="448"/>
      <c r="BT17" s="448"/>
      <c r="BU17" s="448"/>
      <c r="BV17" s="93"/>
      <c r="BW17" s="449"/>
      <c r="BX17" s="340"/>
      <c r="BY17" s="340"/>
      <c r="BZ17" s="340"/>
      <c r="CA17" s="340"/>
      <c r="CB17" s="340"/>
      <c r="CC17" s="449"/>
      <c r="CD17" s="340"/>
      <c r="CE17" s="340"/>
      <c r="CF17" s="340"/>
      <c r="CG17" s="340"/>
      <c r="CH17" s="341"/>
      <c r="CI17" s="449"/>
      <c r="CJ17" s="340"/>
      <c r="CK17" s="340"/>
      <c r="CL17" s="340"/>
      <c r="CM17" s="340"/>
      <c r="CN17" s="341"/>
      <c r="CO17" s="449"/>
      <c r="CP17" s="449"/>
      <c r="CQ17" s="341"/>
      <c r="CR17" s="449"/>
      <c r="CS17" s="449"/>
      <c r="CT17" s="341"/>
      <c r="CU17" s="450"/>
      <c r="CV17" s="450"/>
      <c r="CW17" s="340"/>
      <c r="CX17" s="450"/>
      <c r="CY17" s="450"/>
      <c r="CZ17" s="341"/>
      <c r="DB17" s="450"/>
      <c r="DC17" s="450"/>
      <c r="DD17" s="340"/>
      <c r="DE17" s="450"/>
      <c r="DF17" s="450"/>
      <c r="DG17" s="341"/>
      <c r="DH17" s="450"/>
      <c r="DI17" s="450"/>
      <c r="DJ17" s="449"/>
      <c r="DK17" s="449"/>
      <c r="DL17" s="449"/>
      <c r="DM17" s="450"/>
    </row>
    <row r="18" spans="1:117" ht="40.5" customHeight="1" x14ac:dyDescent="0.3">
      <c r="A18" s="330"/>
      <c r="B18" s="451"/>
      <c r="C18" s="318"/>
      <c r="D18" s="318"/>
      <c r="E18" s="318"/>
      <c r="F18" s="318"/>
      <c r="G18" s="318"/>
      <c r="H18" s="318"/>
      <c r="I18" s="318"/>
      <c r="J18" s="318"/>
      <c r="K18" s="318"/>
      <c r="L18" s="318"/>
      <c r="M18" s="318"/>
      <c r="N18" s="318"/>
      <c r="O18" s="318"/>
      <c r="P18" s="318"/>
      <c r="Q18" s="318"/>
      <c r="R18" s="318"/>
      <c r="S18" s="489"/>
      <c r="T18" s="318"/>
      <c r="U18" s="317"/>
      <c r="V18" s="317"/>
      <c r="W18" s="317"/>
      <c r="X18" s="317"/>
      <c r="Y18" s="317"/>
      <c r="Z18" s="317"/>
      <c r="AA18" s="318"/>
      <c r="AB18" s="318"/>
      <c r="AC18" s="318"/>
      <c r="AD18" s="318"/>
      <c r="AE18" s="454"/>
      <c r="AF18" s="255"/>
      <c r="AP18" s="323"/>
      <c r="AQ18" s="325"/>
      <c r="AR18" s="326"/>
      <c r="AS18" s="323"/>
      <c r="AT18" s="327"/>
      <c r="AU18" s="323"/>
      <c r="AV18" s="327"/>
      <c r="BE18" s="340"/>
      <c r="BF18" s="340"/>
      <c r="BG18" s="340"/>
      <c r="BH18" s="340"/>
      <c r="BI18" s="340"/>
      <c r="BJ18" s="341"/>
      <c r="BK18" s="341"/>
      <c r="BL18" s="341"/>
      <c r="BM18" s="341"/>
      <c r="BN18" s="341"/>
      <c r="BO18" s="341"/>
      <c r="BP18" s="341"/>
      <c r="BQ18" s="448"/>
      <c r="BR18" s="93"/>
      <c r="BS18" s="448"/>
      <c r="BT18" s="448"/>
      <c r="BU18" s="448"/>
      <c r="BV18" s="93"/>
      <c r="BW18" s="449"/>
      <c r="BX18" s="340"/>
      <c r="BY18" s="340"/>
      <c r="BZ18" s="340"/>
      <c r="CA18" s="340"/>
      <c r="CB18" s="340"/>
      <c r="CC18" s="449"/>
      <c r="CD18" s="340"/>
      <c r="CE18" s="340"/>
      <c r="CF18" s="340"/>
      <c r="CG18" s="340"/>
      <c r="CH18" s="341"/>
      <c r="CI18" s="449"/>
      <c r="CJ18" s="340"/>
      <c r="CK18" s="340"/>
      <c r="CL18" s="340"/>
      <c r="CM18" s="340"/>
      <c r="CN18" s="341"/>
      <c r="CO18" s="449"/>
      <c r="CP18" s="449"/>
      <c r="CQ18" s="341"/>
      <c r="CR18" s="449"/>
      <c r="CS18" s="449"/>
      <c r="CT18" s="341"/>
      <c r="CU18" s="450"/>
      <c r="CV18" s="450"/>
      <c r="CW18" s="340"/>
      <c r="CX18" s="450"/>
      <c r="CY18" s="450"/>
      <c r="CZ18" s="341"/>
      <c r="DB18" s="450"/>
      <c r="DC18" s="450"/>
      <c r="DD18" s="340"/>
      <c r="DE18" s="450"/>
      <c r="DF18" s="450"/>
      <c r="DG18" s="341"/>
      <c r="DH18" s="450"/>
      <c r="DI18" s="450"/>
      <c r="DJ18" s="449"/>
      <c r="DK18" s="449"/>
      <c r="DL18" s="449"/>
      <c r="DM18" s="450"/>
    </row>
    <row r="19" spans="1:117" ht="40.5" customHeight="1" x14ac:dyDescent="0.3">
      <c r="A19" s="330"/>
      <c r="B19" s="451"/>
      <c r="C19" s="318"/>
      <c r="D19" s="318"/>
      <c r="E19" s="318"/>
      <c r="F19" s="318"/>
      <c r="G19" s="318"/>
      <c r="H19" s="318"/>
      <c r="I19" s="318"/>
      <c r="J19" s="318"/>
      <c r="K19" s="318"/>
      <c r="L19" s="318"/>
      <c r="M19" s="318"/>
      <c r="N19" s="318"/>
      <c r="O19" s="318"/>
      <c r="P19" s="318"/>
      <c r="Q19" s="318"/>
      <c r="R19" s="318"/>
      <c r="S19" s="489"/>
      <c r="T19" s="318"/>
      <c r="U19" s="317"/>
      <c r="V19" s="317"/>
      <c r="W19" s="317"/>
      <c r="X19" s="317"/>
      <c r="Y19" s="317"/>
      <c r="Z19" s="317"/>
      <c r="AA19" s="318"/>
      <c r="AB19" s="318"/>
      <c r="AC19" s="318"/>
      <c r="AD19" s="318"/>
      <c r="AE19" s="454"/>
      <c r="AF19" s="255"/>
      <c r="AP19" s="323"/>
      <c r="AQ19" s="325"/>
      <c r="AR19" s="326"/>
      <c r="AS19" s="323"/>
      <c r="AT19" s="327"/>
      <c r="AU19" s="323"/>
      <c r="AV19" s="327"/>
      <c r="BE19" s="340"/>
      <c r="BF19" s="340"/>
      <c r="BG19" s="340"/>
      <c r="BH19" s="340"/>
      <c r="BI19" s="340"/>
      <c r="BJ19" s="341"/>
      <c r="BK19" s="341"/>
      <c r="BL19" s="341"/>
      <c r="BM19" s="341"/>
      <c r="BN19" s="341"/>
      <c r="BO19" s="341"/>
      <c r="BP19" s="341"/>
      <c r="BQ19" s="448"/>
      <c r="BR19" s="93"/>
      <c r="BS19" s="448"/>
      <c r="BT19" s="448"/>
      <c r="BU19" s="448"/>
      <c r="BV19" s="93"/>
      <c r="BW19" s="449"/>
      <c r="BX19" s="340"/>
      <c r="BY19" s="340"/>
      <c r="BZ19" s="340"/>
      <c r="CA19" s="340"/>
      <c r="CB19" s="340"/>
      <c r="CC19" s="449"/>
      <c r="CD19" s="340"/>
      <c r="CE19" s="340"/>
      <c r="CF19" s="340"/>
      <c r="CG19" s="340"/>
      <c r="CH19" s="341"/>
      <c r="CI19" s="449"/>
      <c r="CJ19" s="340"/>
      <c r="CK19" s="340"/>
      <c r="CL19" s="340"/>
      <c r="CM19" s="340"/>
      <c r="CN19" s="341"/>
      <c r="CO19" s="449"/>
      <c r="CP19" s="449"/>
      <c r="CQ19" s="341"/>
      <c r="CR19" s="449"/>
      <c r="CS19" s="449"/>
      <c r="CT19" s="341"/>
      <c r="CU19" s="450"/>
      <c r="CV19" s="450"/>
      <c r="CW19" s="340"/>
      <c r="CX19" s="450"/>
      <c r="CY19" s="450"/>
      <c r="CZ19" s="341"/>
      <c r="DB19" s="450"/>
      <c r="DC19" s="450"/>
      <c r="DD19" s="340"/>
      <c r="DE19" s="450"/>
      <c r="DF19" s="450"/>
      <c r="DG19" s="341"/>
      <c r="DH19" s="450"/>
      <c r="DI19" s="450"/>
      <c r="DJ19" s="449"/>
      <c r="DK19" s="449"/>
      <c r="DL19" s="449"/>
      <c r="DM19" s="450"/>
    </row>
    <row r="20" spans="1:117" ht="30" customHeight="1" x14ac:dyDescent="0.3">
      <c r="A20" s="330"/>
      <c r="B20" s="451"/>
      <c r="C20" s="318"/>
      <c r="D20" s="318"/>
      <c r="E20" s="318"/>
      <c r="F20" s="318"/>
      <c r="G20" s="318"/>
      <c r="H20" s="318"/>
      <c r="I20" s="318"/>
      <c r="J20" s="318"/>
      <c r="K20" s="318"/>
      <c r="L20" s="318"/>
      <c r="M20" s="318"/>
      <c r="N20" s="318"/>
      <c r="O20" s="318"/>
      <c r="P20" s="318"/>
      <c r="Q20" s="318"/>
      <c r="R20" s="318"/>
      <c r="S20" s="489"/>
      <c r="T20" s="318"/>
      <c r="U20" s="317"/>
      <c r="V20" s="317"/>
      <c r="W20" s="317"/>
      <c r="X20" s="317"/>
      <c r="Y20" s="317"/>
      <c r="Z20" s="317"/>
      <c r="AA20" s="318"/>
      <c r="AB20" s="318"/>
      <c r="AC20" s="318"/>
      <c r="AD20" s="491"/>
      <c r="AE20" s="454"/>
      <c r="AF20" s="255"/>
      <c r="AP20" s="323"/>
      <c r="AQ20" s="325"/>
      <c r="AR20" s="326"/>
      <c r="AS20" s="323"/>
      <c r="AT20" s="327"/>
      <c r="AU20" s="323"/>
      <c r="AV20" s="327"/>
      <c r="BE20" s="340"/>
      <c r="BF20" s="340"/>
      <c r="BG20" s="340"/>
      <c r="BH20" s="340"/>
      <c r="BI20" s="340"/>
      <c r="BJ20" s="341"/>
      <c r="BK20" s="341"/>
      <c r="BL20" s="341"/>
      <c r="BM20" s="341"/>
      <c r="BN20" s="341"/>
      <c r="BO20" s="341"/>
      <c r="BP20" s="341"/>
      <c r="BQ20" s="448"/>
      <c r="BR20" s="93"/>
      <c r="BS20" s="448"/>
      <c r="BT20" s="448"/>
      <c r="BU20" s="448"/>
      <c r="BV20" s="93"/>
      <c r="BW20" s="449"/>
      <c r="BX20" s="340"/>
      <c r="BY20" s="340"/>
      <c r="BZ20" s="340"/>
      <c r="CA20" s="340"/>
      <c r="CB20" s="340"/>
      <c r="CC20" s="449"/>
      <c r="CD20" s="340"/>
      <c r="CE20" s="340"/>
      <c r="CF20" s="340"/>
      <c r="CG20" s="340"/>
      <c r="CH20" s="341"/>
      <c r="CI20" s="449"/>
      <c r="CJ20" s="340"/>
      <c r="CK20" s="340"/>
      <c r="CL20" s="340"/>
      <c r="CM20" s="340"/>
      <c r="CN20" s="341"/>
      <c r="CO20" s="449"/>
      <c r="CP20" s="449"/>
      <c r="CQ20" s="341"/>
      <c r="CR20" s="449"/>
      <c r="CS20" s="449"/>
      <c r="CT20" s="341"/>
      <c r="CU20" s="450"/>
      <c r="CV20" s="450"/>
      <c r="CW20" s="340"/>
      <c r="CX20" s="450"/>
      <c r="CY20" s="450"/>
      <c r="CZ20" s="341"/>
      <c r="DB20" s="450"/>
      <c r="DC20" s="450"/>
      <c r="DD20" s="340"/>
      <c r="DE20" s="450"/>
      <c r="DF20" s="450"/>
      <c r="DG20" s="341"/>
      <c r="DH20" s="450"/>
      <c r="DI20" s="450"/>
      <c r="DJ20" s="449"/>
      <c r="DK20" s="449"/>
      <c r="DL20" s="449"/>
      <c r="DM20" s="450"/>
    </row>
    <row r="21" spans="1:117" ht="30" customHeight="1" x14ac:dyDescent="0.3">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P21" s="340"/>
      <c r="AQ21" s="341"/>
      <c r="BE21" s="340"/>
      <c r="BF21" s="340"/>
      <c r="BG21" s="340"/>
      <c r="BH21" s="340"/>
      <c r="BI21" s="340"/>
      <c r="BJ21" s="341"/>
      <c r="BK21" s="341"/>
      <c r="BL21" s="341"/>
      <c r="BM21" s="341"/>
      <c r="BN21" s="341"/>
      <c r="BO21" s="341"/>
      <c r="BP21" s="341"/>
      <c r="BQ21" s="448"/>
      <c r="BR21" s="93"/>
      <c r="BS21" s="448"/>
      <c r="BT21" s="448"/>
      <c r="BU21" s="448"/>
      <c r="BV21" s="93"/>
      <c r="BW21" s="449"/>
      <c r="BX21" s="340"/>
      <c r="BY21" s="340"/>
      <c r="BZ21" s="340"/>
      <c r="CA21" s="340"/>
      <c r="CB21" s="340"/>
      <c r="CC21" s="449"/>
      <c r="CD21" s="340"/>
      <c r="CE21" s="340"/>
      <c r="CF21" s="340"/>
      <c r="CG21" s="340"/>
      <c r="CH21" s="341"/>
      <c r="CI21" s="449"/>
      <c r="CJ21" s="340"/>
      <c r="CK21" s="340"/>
      <c r="CL21" s="340"/>
      <c r="CM21" s="340"/>
      <c r="CN21" s="341"/>
      <c r="CO21" s="449"/>
      <c r="CP21" s="449"/>
      <c r="CQ21" s="341"/>
      <c r="CR21" s="449"/>
      <c r="CS21" s="449"/>
      <c r="CT21" s="341"/>
      <c r="CU21" s="450"/>
      <c r="CV21" s="450"/>
      <c r="CW21" s="340"/>
      <c r="CX21" s="450"/>
      <c r="CY21" s="450"/>
      <c r="CZ21" s="341"/>
      <c r="DB21" s="450"/>
      <c r="DC21" s="450"/>
      <c r="DD21" s="340"/>
      <c r="DE21" s="450"/>
      <c r="DF21" s="450"/>
      <c r="DG21" s="341"/>
      <c r="DH21" s="450"/>
      <c r="DI21" s="450"/>
      <c r="DJ21" s="449"/>
      <c r="DK21" s="449"/>
      <c r="DL21" s="449"/>
      <c r="DM21" s="450"/>
    </row>
    <row r="22" spans="1:117" ht="30" customHeight="1" x14ac:dyDescent="0.3">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BE22" s="340"/>
      <c r="BF22" s="340"/>
      <c r="BG22" s="340"/>
      <c r="BH22" s="340"/>
      <c r="BI22" s="340"/>
      <c r="BJ22" s="341"/>
      <c r="BK22" s="341"/>
      <c r="BL22" s="341"/>
      <c r="BM22" s="341"/>
      <c r="BN22" s="341"/>
      <c r="BO22" s="341"/>
      <c r="BP22" s="341"/>
      <c r="BQ22" s="448"/>
      <c r="BR22" s="93"/>
      <c r="BS22" s="448"/>
      <c r="BT22" s="448"/>
      <c r="BU22" s="448"/>
      <c r="BV22" s="93"/>
      <c r="BW22" s="449"/>
      <c r="BX22" s="340"/>
      <c r="BY22" s="340"/>
      <c r="BZ22" s="340"/>
      <c r="CA22" s="340"/>
      <c r="CB22" s="340"/>
      <c r="CC22" s="449"/>
      <c r="CD22" s="340"/>
      <c r="CE22" s="340"/>
      <c r="CF22" s="340"/>
      <c r="CG22" s="340"/>
      <c r="CH22" s="341"/>
      <c r="CI22" s="449"/>
      <c r="CJ22" s="340"/>
      <c r="CK22" s="340"/>
      <c r="CL22" s="340"/>
      <c r="CM22" s="340"/>
      <c r="CN22" s="341"/>
      <c r="CO22" s="449"/>
      <c r="CP22" s="449"/>
      <c r="CQ22" s="341"/>
      <c r="CR22" s="449"/>
      <c r="CS22" s="449"/>
      <c r="CT22" s="341"/>
      <c r="CU22" s="450"/>
      <c r="CV22" s="450"/>
      <c r="CW22" s="340"/>
      <c r="CX22" s="450"/>
      <c r="CY22" s="450"/>
      <c r="CZ22" s="341"/>
      <c r="DB22" s="450"/>
      <c r="DC22" s="450"/>
      <c r="DD22" s="340"/>
      <c r="DE22" s="450"/>
      <c r="DF22" s="450"/>
      <c r="DG22" s="341"/>
      <c r="DH22" s="450"/>
      <c r="DI22" s="450"/>
      <c r="DJ22" s="449"/>
      <c r="DK22" s="449"/>
      <c r="DL22" s="449"/>
      <c r="DM22" s="450"/>
    </row>
    <row r="23" spans="1:117" ht="30" customHeight="1" x14ac:dyDescent="0.3">
      <c r="Z23" s="343"/>
      <c r="BE23" s="340"/>
      <c r="BF23" s="340"/>
      <c r="BG23" s="340"/>
      <c r="BH23" s="340"/>
      <c r="BI23" s="340"/>
      <c r="BJ23" s="341"/>
      <c r="BK23" s="341"/>
      <c r="BL23" s="341"/>
      <c r="BM23" s="341"/>
      <c r="BN23" s="341"/>
      <c r="BO23" s="341"/>
      <c r="BP23" s="341"/>
      <c r="BQ23" s="448"/>
      <c r="BR23" s="93"/>
      <c r="BS23" s="448"/>
      <c r="BT23" s="448"/>
      <c r="BU23" s="448"/>
      <c r="BV23" s="93"/>
      <c r="BW23" s="449"/>
      <c r="BX23" s="340"/>
      <c r="BY23" s="340"/>
      <c r="BZ23" s="340"/>
      <c r="CA23" s="340"/>
      <c r="CB23" s="340"/>
      <c r="CC23" s="449"/>
      <c r="CD23" s="340"/>
      <c r="CE23" s="340"/>
      <c r="CF23" s="340"/>
      <c r="CG23" s="340"/>
      <c r="CH23" s="341"/>
      <c r="CI23" s="449"/>
      <c r="CJ23" s="340"/>
      <c r="CK23" s="340"/>
      <c r="CL23" s="340"/>
      <c r="CM23" s="340"/>
      <c r="CN23" s="341"/>
      <c r="CO23" s="449"/>
      <c r="CP23" s="449"/>
      <c r="CQ23" s="341"/>
      <c r="CR23" s="449"/>
      <c r="CS23" s="449"/>
      <c r="CT23" s="341"/>
      <c r="CU23" s="450"/>
      <c r="CV23" s="450"/>
      <c r="CW23" s="340"/>
      <c r="CX23" s="450"/>
      <c r="CY23" s="450"/>
      <c r="CZ23" s="341"/>
      <c r="DB23" s="450"/>
      <c r="DC23" s="450"/>
      <c r="DD23" s="340"/>
      <c r="DE23" s="450"/>
      <c r="DF23" s="450"/>
      <c r="DG23" s="341"/>
      <c r="DH23" s="450"/>
      <c r="DI23" s="450"/>
      <c r="DJ23" s="449"/>
      <c r="DK23" s="449"/>
      <c r="DL23" s="449"/>
      <c r="DM23" s="450"/>
    </row>
    <row r="24" spans="1:117" ht="20" customHeight="1" x14ac:dyDescent="0.3">
      <c r="BE24" s="340"/>
      <c r="BF24" s="340"/>
      <c r="BG24" s="340"/>
      <c r="BH24" s="340"/>
      <c r="BI24" s="340"/>
      <c r="BJ24" s="341"/>
      <c r="BK24" s="341"/>
      <c r="BL24" s="341"/>
      <c r="BM24" s="341"/>
      <c r="BN24" s="341"/>
      <c r="BO24" s="341"/>
      <c r="BP24" s="341"/>
      <c r="BQ24" s="448"/>
      <c r="BR24" s="93"/>
      <c r="BS24" s="448"/>
      <c r="BT24" s="448"/>
      <c r="BU24" s="448"/>
      <c r="BV24" s="93"/>
      <c r="BW24" s="449"/>
      <c r="BX24" s="340"/>
      <c r="BY24" s="340"/>
      <c r="BZ24" s="340"/>
      <c r="CA24" s="340"/>
      <c r="CB24" s="340"/>
      <c r="CC24" s="449"/>
      <c r="CD24" s="340"/>
      <c r="CE24" s="340"/>
      <c r="CF24" s="340"/>
      <c r="CG24" s="340"/>
      <c r="CH24" s="341"/>
      <c r="CI24" s="449"/>
      <c r="CJ24" s="340"/>
      <c r="CK24" s="340"/>
      <c r="CL24" s="340"/>
      <c r="CM24" s="340"/>
      <c r="CN24" s="341"/>
      <c r="CO24" s="449"/>
      <c r="CP24" s="449"/>
      <c r="CQ24" s="341"/>
      <c r="CR24" s="449"/>
      <c r="CS24" s="449"/>
      <c r="CT24" s="341"/>
      <c r="CU24" s="450"/>
      <c r="CV24" s="450"/>
      <c r="CW24" s="340"/>
      <c r="CX24" s="450"/>
      <c r="CY24" s="450"/>
      <c r="CZ24" s="341"/>
      <c r="DB24" s="450"/>
      <c r="DC24" s="450"/>
      <c r="DD24" s="340"/>
      <c r="DE24" s="450"/>
      <c r="DF24" s="450"/>
      <c r="DG24" s="341"/>
      <c r="DH24" s="450"/>
      <c r="DI24" s="450"/>
      <c r="DJ24" s="449"/>
      <c r="DK24" s="449"/>
      <c r="DL24" s="449"/>
      <c r="DM24" s="450"/>
    </row>
    <row r="25" spans="1:117" ht="34.5" customHeight="1" x14ac:dyDescent="0.3">
      <c r="N25" s="492"/>
      <c r="O25" s="492"/>
      <c r="P25" s="492"/>
      <c r="Q25" s="492"/>
      <c r="R25" s="492"/>
      <c r="S25" s="492">
        <f>SUM(S5:S10)</f>
        <v>1715419.8534749304</v>
      </c>
      <c r="T25" s="492">
        <f t="shared" ref="T25:V25" si="9">SUM(T5:T10)</f>
        <v>0</v>
      </c>
      <c r="U25" s="492">
        <f t="shared" si="9"/>
        <v>364751.295049707</v>
      </c>
      <c r="V25" s="492">
        <f t="shared" si="9"/>
        <v>1350668.5584252235</v>
      </c>
      <c r="W25" s="492"/>
      <c r="X25" s="492"/>
      <c r="Y25" s="492">
        <f>SUM(Y5:Y20)</f>
        <v>2978079.890625</v>
      </c>
      <c r="Z25" s="492">
        <f>SUM(Z5:Z20)</f>
        <v>59561.597812499997</v>
      </c>
      <c r="BE25" s="340"/>
      <c r="BF25" s="340"/>
      <c r="BG25" s="340"/>
      <c r="BH25" s="340"/>
      <c r="BI25" s="340"/>
      <c r="BJ25" s="341"/>
      <c r="BK25" s="341"/>
      <c r="BL25" s="341"/>
      <c r="BM25" s="341"/>
      <c r="BN25" s="341"/>
      <c r="BO25" s="341"/>
      <c r="BP25" s="341"/>
      <c r="BQ25" s="448"/>
      <c r="BR25" s="93"/>
      <c r="BS25" s="448"/>
      <c r="BT25" s="448"/>
      <c r="BU25" s="448"/>
      <c r="BV25" s="93"/>
      <c r="BW25" s="449"/>
      <c r="BX25" s="340"/>
      <c r="BY25" s="340"/>
      <c r="BZ25" s="340"/>
      <c r="CA25" s="340"/>
      <c r="CB25" s="340"/>
      <c r="CC25" s="449"/>
      <c r="CD25" s="340"/>
      <c r="CE25" s="340"/>
      <c r="CF25" s="340"/>
      <c r="CG25" s="340"/>
      <c r="CH25" s="341"/>
      <c r="CI25" s="449"/>
      <c r="CJ25" s="340"/>
      <c r="CK25" s="340"/>
      <c r="CL25" s="340"/>
      <c r="CM25" s="340"/>
      <c r="CN25" s="341"/>
      <c r="CO25" s="449"/>
      <c r="CP25" s="449"/>
      <c r="CQ25" s="341"/>
      <c r="CR25" s="449"/>
      <c r="CS25" s="449"/>
      <c r="CT25" s="341"/>
      <c r="CU25" s="450"/>
      <c r="CV25" s="450"/>
      <c r="CW25" s="340"/>
      <c r="CX25" s="450"/>
      <c r="CY25" s="450"/>
      <c r="CZ25" s="341"/>
      <c r="DB25" s="450"/>
      <c r="DC25" s="450"/>
      <c r="DD25" s="340"/>
      <c r="DE25" s="450"/>
      <c r="DF25" s="450"/>
      <c r="DG25" s="341"/>
      <c r="DH25" s="450"/>
      <c r="DI25" s="450"/>
      <c r="DJ25" s="449"/>
      <c r="DK25" s="449"/>
      <c r="DL25" s="449"/>
      <c r="DM25" s="450"/>
    </row>
    <row r="26" spans="1:117" ht="20" customHeight="1" x14ac:dyDescent="0.3">
      <c r="BE26" s="340"/>
      <c r="BF26" s="340"/>
      <c r="BG26" s="340"/>
      <c r="BH26" s="340"/>
      <c r="BI26" s="340"/>
      <c r="BJ26" s="341"/>
      <c r="BK26" s="341"/>
      <c r="BL26" s="341"/>
      <c r="BM26" s="341"/>
      <c r="BN26" s="341"/>
      <c r="BO26" s="341"/>
      <c r="BP26" s="341"/>
      <c r="BQ26" s="448"/>
      <c r="BR26" s="93"/>
      <c r="BS26" s="448"/>
      <c r="BT26" s="448"/>
      <c r="BU26" s="448"/>
      <c r="BV26" s="93"/>
      <c r="BW26" s="449"/>
      <c r="BX26" s="340"/>
      <c r="BY26" s="340"/>
      <c r="BZ26" s="340"/>
      <c r="CA26" s="340"/>
      <c r="CB26" s="340"/>
      <c r="CC26" s="449"/>
      <c r="CD26" s="340"/>
      <c r="CE26" s="340"/>
      <c r="CF26" s="340"/>
      <c r="CG26" s="340"/>
      <c r="CH26" s="341"/>
      <c r="CI26" s="449"/>
      <c r="CJ26" s="340"/>
      <c r="CK26" s="340"/>
      <c r="CL26" s="340"/>
      <c r="CM26" s="340"/>
      <c r="CN26" s="341"/>
      <c r="CO26" s="449"/>
      <c r="CP26" s="449"/>
      <c r="CQ26" s="341"/>
      <c r="CR26" s="449"/>
      <c r="CS26" s="449"/>
      <c r="CT26" s="341"/>
      <c r="CU26" s="450"/>
      <c r="CV26" s="450"/>
      <c r="CW26" s="340"/>
      <c r="CX26" s="450"/>
      <c r="CY26" s="450"/>
      <c r="CZ26" s="341"/>
      <c r="DB26" s="450"/>
      <c r="DC26" s="450"/>
      <c r="DD26" s="340"/>
      <c r="DE26" s="450"/>
      <c r="DF26" s="450"/>
      <c r="DG26" s="341"/>
      <c r="DH26" s="450"/>
      <c r="DI26" s="450"/>
      <c r="DJ26" s="449"/>
      <c r="DK26" s="449"/>
      <c r="DL26" s="449"/>
      <c r="DM26" s="450"/>
    </row>
    <row r="27" spans="1:117" ht="20" customHeight="1" x14ac:dyDescent="0.3">
      <c r="C27" s="462"/>
      <c r="D27" s="462"/>
      <c r="E27" s="462"/>
      <c r="F27" s="462"/>
      <c r="G27" s="462"/>
      <c r="H27" s="462"/>
      <c r="I27" s="462"/>
      <c r="CT27" s="341"/>
    </row>
    <row r="28" spans="1:117" ht="20" customHeight="1" x14ac:dyDescent="0.3">
      <c r="C28" s="462"/>
      <c r="D28" s="462"/>
      <c r="E28" s="462"/>
      <c r="F28" s="462"/>
      <c r="G28" s="462"/>
      <c r="H28" s="462"/>
      <c r="I28" s="462"/>
    </row>
    <row r="29" spans="1:117" ht="20" customHeight="1" x14ac:dyDescent="0.3">
      <c r="C29" s="462"/>
      <c r="D29" s="462"/>
      <c r="E29" s="462"/>
      <c r="F29" s="462"/>
      <c r="G29" s="462"/>
      <c r="H29" s="462"/>
      <c r="I29" s="462"/>
    </row>
    <row r="30" spans="1:117" x14ac:dyDescent="0.3">
      <c r="C30" s="462"/>
      <c r="D30" s="462"/>
      <c r="E30" s="462"/>
      <c r="F30" s="462"/>
      <c r="G30" s="462"/>
      <c r="H30" s="462"/>
      <c r="I30" s="462"/>
    </row>
    <row r="31" spans="1:117" x14ac:dyDescent="0.3">
      <c r="C31" s="462"/>
      <c r="D31" s="462"/>
      <c r="E31" s="462"/>
      <c r="F31" s="462"/>
      <c r="G31" s="462"/>
      <c r="H31" s="462"/>
      <c r="I31" s="462"/>
    </row>
    <row r="32" spans="1:117" x14ac:dyDescent="0.3">
      <c r="C32" s="462"/>
      <c r="D32" s="462"/>
      <c r="E32" s="462"/>
      <c r="F32" s="462"/>
      <c r="G32" s="462"/>
      <c r="H32" s="462"/>
      <c r="I32" s="462"/>
    </row>
    <row r="33" spans="3:9" x14ac:dyDescent="0.3">
      <c r="C33" s="462"/>
      <c r="D33" s="462"/>
      <c r="E33" s="462"/>
      <c r="F33" s="462"/>
      <c r="G33" s="462"/>
      <c r="H33" s="462"/>
      <c r="I33" s="462"/>
    </row>
    <row r="34" spans="3:9" x14ac:dyDescent="0.3">
      <c r="C34" s="462"/>
      <c r="D34" s="462"/>
      <c r="E34" s="462"/>
      <c r="F34" s="462"/>
      <c r="G34" s="462"/>
      <c r="H34" s="462"/>
      <c r="I34" s="462"/>
    </row>
    <row r="35" spans="3:9" x14ac:dyDescent="0.3">
      <c r="C35" s="462"/>
      <c r="D35" s="462"/>
      <c r="E35" s="462"/>
      <c r="F35" s="462"/>
      <c r="G35" s="462"/>
      <c r="H35" s="462"/>
      <c r="I35" s="462"/>
    </row>
  </sheetData>
  <mergeCells count="30">
    <mergeCell ref="W3:W4"/>
    <mergeCell ref="X3:X4"/>
    <mergeCell ref="J3:K3"/>
    <mergeCell ref="M3:N3"/>
    <mergeCell ref="O3:P3"/>
    <mergeCell ref="S3:T3"/>
    <mergeCell ref="U3:U4"/>
    <mergeCell ref="V3:V4"/>
    <mergeCell ref="DH3:DM3"/>
    <mergeCell ref="CC3:CH3"/>
    <mergeCell ref="BE3:BJ3"/>
    <mergeCell ref="BK3:BP3"/>
    <mergeCell ref="BR3:BV3"/>
    <mergeCell ref="BW3:CB3"/>
    <mergeCell ref="CI3:CN3"/>
    <mergeCell ref="CO3:CT3"/>
    <mergeCell ref="CU3:CZ3"/>
    <mergeCell ref="AT2:AU2"/>
    <mergeCell ref="Y3:Y4"/>
    <mergeCell ref="Z3:Z4"/>
    <mergeCell ref="AV4:BB4"/>
    <mergeCell ref="DB3:DG3"/>
    <mergeCell ref="AE3:AE4"/>
    <mergeCell ref="BW2:CH2"/>
    <mergeCell ref="CO2:CY2"/>
    <mergeCell ref="A1:B1"/>
    <mergeCell ref="A2:I2"/>
    <mergeCell ref="J2:K2"/>
    <mergeCell ref="L2:X2"/>
    <mergeCell ref="Y2:AD2"/>
  </mergeCells>
  <conditionalFormatting sqref="AA5:AB10">
    <cfRule type="cellIs" dxfId="38" priority="6" operator="equal">
      <formula>1</formula>
    </cfRule>
    <cfRule type="cellIs" dxfId="37" priority="7" operator="equal">
      <formula>2</formula>
    </cfRule>
    <cfRule type="cellIs" dxfId="36" priority="8" operator="equal">
      <formula>3</formula>
    </cfRule>
    <cfRule type="cellIs" dxfId="35" priority="9" operator="greaterThan">
      <formula>3.9</formula>
    </cfRule>
  </conditionalFormatting>
  <conditionalFormatting sqref="AD5:AD10">
    <cfRule type="cellIs" dxfId="34" priority="1" operator="lessThan">
      <formula>0.3</formula>
    </cfRule>
    <cfRule type="cellIs" dxfId="33" priority="2" operator="between">
      <formula>0.3</formula>
      <formula>0.5</formula>
    </cfRule>
    <cfRule type="cellIs" dxfId="32" priority="3" operator="between">
      <formula>0.5</formula>
      <formula>0.6</formula>
    </cfRule>
    <cfRule type="cellIs" dxfId="31" priority="4" operator="greaterThan">
      <formula>0.6</formula>
    </cfRule>
    <cfRule type="cellIs" dxfId="30" priority="5" operator="lessThan">
      <formula>0.5</formula>
    </cfRule>
  </conditionalFormatting>
  <pageMargins left="0.7" right="0.7" top="0.75" bottom="0.75" header="0.3" footer="0.3"/>
  <headerFooter>
    <oddFooter>&amp;C_x000D_&amp;1#&amp;"Calibri"&amp;8&amp;K000000 INTERNAL. This information is accessible to ADB Management and staff. It may be shared outside ADB with appropriate permission.</oddFooter>
  </headerFooter>
  <extLst>
    <ext xmlns:x14="http://schemas.microsoft.com/office/spreadsheetml/2009/9/main" uri="{CCE6A557-97BC-4b89-ADB6-D9C93CAAB3DF}">
      <x14:dataValidations xmlns:xm="http://schemas.microsoft.com/office/excel/2006/main" count="6">
        <x14:dataValidation type="list" allowBlank="1" showInputMessage="1" showErrorMessage="1" xr:uid="{7816C4F8-733C-4246-AA6C-D5161D667977}">
          <x14:formula1>
            <xm:f>'AR-Hierarchy '!$D$107:$D$109</xm:f>
          </x14:formula1>
          <xm:sqref>D11:D26</xm:sqref>
        </x14:dataValidation>
        <x14:dataValidation type="list" allowBlank="1" showInputMessage="1" showErrorMessage="1" xr:uid="{EB00C26E-6573-4625-94DF-B859053CFAFE}">
          <x14:formula1>
            <xm:f>'AR-Hierarchy '!$H$107:$H$109</xm:f>
          </x14:formula1>
          <xm:sqref>F11:F23</xm:sqref>
        </x14:dataValidation>
        <x14:dataValidation type="list" allowBlank="1" showInputMessage="1" showErrorMessage="1" xr:uid="{CA994DA0-2077-4493-8093-5B782DF495B8}">
          <x14:formula1>
            <xm:f>'AR-Hierarchy '!$E$146:$E$152</xm:f>
          </x14:formula1>
          <xm:sqref>D5:D10</xm:sqref>
        </x14:dataValidation>
        <x14:dataValidation type="list" allowBlank="1" showInputMessage="1" showErrorMessage="1" xr:uid="{B7409359-EE68-4CC9-ABCB-F25B3E056429}">
          <x14:formula1>
            <xm:f>'Condition rating weights'!$C$29:$C$34</xm:f>
          </x14:formula1>
          <xm:sqref>AA5:AC5</xm:sqref>
        </x14:dataValidation>
        <x14:dataValidation type="list" allowBlank="1" showInputMessage="1" showErrorMessage="1" xr:uid="{93847645-8B2D-40F5-8030-5C8C36B26CFB}">
          <x14:formula1>
            <xm:f>'Inflation Adjustments'!$B$3:$BT$3</xm:f>
          </x14:formula1>
          <xm:sqref>M16 M5 M19:M21 M7:M12</xm:sqref>
        </x14:dataValidation>
        <x14:dataValidation type="list" allowBlank="1" showInputMessage="1" showErrorMessage="1" xr:uid="{41554E82-BFBE-4B05-94AA-D2452964D572}">
          <x14:formula1>
            <xm:f>'AR-Hierarchy '!$B$4:$B$53</xm:f>
          </x14:formula1>
          <xm:sqref>C5:C23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637D4-D8E1-4A74-A315-5645449A31CB}">
  <dimension ref="A1:BE56"/>
  <sheetViews>
    <sheetView topLeftCell="V27" zoomScale="93" workbookViewId="0">
      <selection activeCell="W37" sqref="W37"/>
    </sheetView>
  </sheetViews>
  <sheetFormatPr defaultColWidth="8.81640625" defaultRowHeight="14" x14ac:dyDescent="0.3"/>
  <cols>
    <col min="1" max="35" width="35.6328125" style="289" customWidth="1"/>
    <col min="36" max="41" width="8.81640625" style="91"/>
    <col min="42" max="42" width="38.453125" style="91" customWidth="1"/>
    <col min="43" max="43" width="11.6328125" style="91" customWidth="1"/>
    <col min="44" max="44" width="13.81640625" style="93" customWidth="1"/>
    <col min="45" max="45" width="13.54296875" style="91" customWidth="1"/>
    <col min="46" max="46" width="14.453125" style="91" customWidth="1"/>
    <col min="47" max="47" width="14.81640625" style="91" customWidth="1"/>
    <col min="48" max="48" width="14.54296875" style="144" customWidth="1"/>
    <col min="49" max="49" width="16.36328125" style="91" customWidth="1"/>
    <col min="50" max="50" width="10.54296875" style="91" customWidth="1"/>
    <col min="51" max="51" width="11.36328125" style="91" customWidth="1"/>
    <col min="52" max="52" width="10.1796875" style="91" customWidth="1"/>
    <col min="53" max="53" width="11.08984375" style="91" customWidth="1"/>
    <col min="54" max="54" width="21.6328125" style="91" customWidth="1"/>
    <col min="55" max="55" width="16.1796875" style="91" customWidth="1"/>
    <col min="56" max="56" width="10.1796875" style="91" customWidth="1"/>
    <col min="57" max="57" width="9.90625" style="91" customWidth="1"/>
    <col min="58" max="62" width="8.81640625" style="91"/>
    <col min="63" max="65" width="8.81640625" style="91" customWidth="1"/>
    <col min="66" max="16384" width="8.81640625" style="91"/>
  </cols>
  <sheetData>
    <row r="1" spans="1:57" ht="39" customHeight="1" thickTop="1" x14ac:dyDescent="0.3">
      <c r="A1" s="286" t="s">
        <v>32</v>
      </c>
      <c r="B1" s="287"/>
      <c r="C1" s="288">
        <v>2023</v>
      </c>
      <c r="H1" s="289">
        <v>2023</v>
      </c>
    </row>
    <row r="2" spans="1:57" ht="43" customHeight="1" thickBot="1" x14ac:dyDescent="0.35">
      <c r="A2" s="584" t="s">
        <v>1403</v>
      </c>
      <c r="B2" s="585"/>
      <c r="C2" s="585"/>
      <c r="D2" s="585"/>
      <c r="E2" s="585"/>
      <c r="F2" s="585"/>
      <c r="G2" s="585"/>
      <c r="H2" s="585"/>
      <c r="I2" s="585"/>
      <c r="J2" s="585"/>
      <c r="K2" s="585"/>
      <c r="L2" s="585"/>
      <c r="M2" s="585" t="s">
        <v>1410</v>
      </c>
      <c r="N2" s="585"/>
      <c r="O2" s="585"/>
      <c r="P2" s="585"/>
      <c r="Q2" s="592" t="s">
        <v>267</v>
      </c>
      <c r="R2" s="593"/>
      <c r="S2" s="593"/>
      <c r="T2" s="593"/>
      <c r="U2" s="593"/>
      <c r="V2" s="593"/>
      <c r="W2" s="593"/>
      <c r="X2" s="593"/>
      <c r="Y2" s="593"/>
      <c r="Z2" s="593"/>
      <c r="AA2" s="593"/>
      <c r="AB2" s="594"/>
      <c r="AC2" s="592" t="s">
        <v>268</v>
      </c>
      <c r="AD2" s="593"/>
      <c r="AE2" s="593"/>
      <c r="AF2" s="593"/>
      <c r="AG2" s="593"/>
      <c r="AH2" s="483"/>
      <c r="AI2" s="483"/>
      <c r="AZ2" s="93"/>
      <c r="BA2" s="93"/>
      <c r="BB2" s="93"/>
      <c r="BC2" s="93"/>
    </row>
    <row r="3" spans="1:57" ht="73" customHeight="1" thickTop="1" x14ac:dyDescent="0.3">
      <c r="A3" s="293" t="s">
        <v>0</v>
      </c>
      <c r="B3" s="294" t="s">
        <v>34</v>
      </c>
      <c r="C3" s="294" t="s">
        <v>250</v>
      </c>
      <c r="D3" s="294" t="s">
        <v>251</v>
      </c>
      <c r="E3" s="294" t="s">
        <v>1</v>
      </c>
      <c r="F3" s="294" t="s">
        <v>2</v>
      </c>
      <c r="G3" s="294" t="s">
        <v>252</v>
      </c>
      <c r="H3" s="294" t="s">
        <v>1439</v>
      </c>
      <c r="I3" s="294" t="s">
        <v>711</v>
      </c>
      <c r="J3" s="294" t="s">
        <v>712</v>
      </c>
      <c r="K3" s="294" t="s">
        <v>713</v>
      </c>
      <c r="L3" s="294" t="s">
        <v>714</v>
      </c>
      <c r="M3" s="616" t="s">
        <v>255</v>
      </c>
      <c r="N3" s="625"/>
      <c r="O3" s="625"/>
      <c r="P3" s="625"/>
      <c r="Q3" s="609" t="s">
        <v>259</v>
      </c>
      <c r="R3" s="603" t="s">
        <v>38</v>
      </c>
      <c r="S3" s="604"/>
      <c r="T3" s="603" t="s">
        <v>261</v>
      </c>
      <c r="U3" s="591"/>
      <c r="V3" s="296"/>
      <c r="W3" s="591" t="s">
        <v>262</v>
      </c>
      <c r="X3" s="591"/>
      <c r="Y3" s="591" t="s">
        <v>263</v>
      </c>
      <c r="Z3" s="591" t="s">
        <v>326</v>
      </c>
      <c r="AA3" s="604" t="s">
        <v>33</v>
      </c>
      <c r="AB3" s="609" t="s">
        <v>264</v>
      </c>
      <c r="AC3" s="609" t="s">
        <v>265</v>
      </c>
      <c r="AD3" s="609" t="s">
        <v>266</v>
      </c>
      <c r="AE3" s="686" t="s">
        <v>1176</v>
      </c>
      <c r="AF3" s="294" t="s">
        <v>1441</v>
      </c>
      <c r="AG3" s="295" t="s">
        <v>1442</v>
      </c>
      <c r="AH3" s="295" t="s">
        <v>1443</v>
      </c>
      <c r="AI3" s="671" t="s">
        <v>1428</v>
      </c>
      <c r="AP3" s="91" t="s">
        <v>809</v>
      </c>
      <c r="AQ3" s="476"/>
      <c r="AR3" s="144"/>
      <c r="AS3" s="282" t="s">
        <v>828</v>
      </c>
      <c r="AT3" s="282"/>
      <c r="AU3" s="685"/>
      <c r="AV3" s="685"/>
      <c r="AW3" s="685"/>
      <c r="AX3" s="685"/>
      <c r="AY3" s="685"/>
      <c r="AZ3" s="685"/>
      <c r="BA3" s="685" t="s">
        <v>1177</v>
      </c>
      <c r="BB3" s="685"/>
      <c r="BC3" s="685"/>
      <c r="BD3" s="685"/>
      <c r="BE3" s="685"/>
    </row>
    <row r="4" spans="1:57" ht="47" customHeight="1" thickBot="1" x14ac:dyDescent="0.35">
      <c r="A4" s="300"/>
      <c r="B4" s="301"/>
      <c r="C4" s="302"/>
      <c r="D4" s="302"/>
      <c r="E4" s="302"/>
      <c r="F4" s="302"/>
      <c r="G4" s="302"/>
      <c r="H4" s="302"/>
      <c r="I4" s="302"/>
      <c r="J4" s="302"/>
      <c r="K4" s="302"/>
      <c r="L4" s="302"/>
      <c r="M4" s="302" t="s">
        <v>256</v>
      </c>
      <c r="N4" s="302" t="s">
        <v>735</v>
      </c>
      <c r="O4" s="302" t="s">
        <v>1460</v>
      </c>
      <c r="P4" s="302" t="s">
        <v>1449</v>
      </c>
      <c r="Q4" s="610"/>
      <c r="R4" s="302" t="s">
        <v>38</v>
      </c>
      <c r="S4" s="302" t="s">
        <v>260</v>
      </c>
      <c r="T4" s="302" t="s">
        <v>261</v>
      </c>
      <c r="U4" s="302" t="s">
        <v>260</v>
      </c>
      <c r="V4" s="302" t="s">
        <v>715</v>
      </c>
      <c r="W4" s="302" t="s">
        <v>262</v>
      </c>
      <c r="X4" s="302" t="s">
        <v>260</v>
      </c>
      <c r="Y4" s="607"/>
      <c r="Z4" s="607"/>
      <c r="AA4" s="608"/>
      <c r="AB4" s="610"/>
      <c r="AC4" s="610"/>
      <c r="AD4" s="610"/>
      <c r="AE4" s="687"/>
      <c r="AF4" s="302"/>
      <c r="AG4" s="345" t="s">
        <v>37</v>
      </c>
      <c r="AH4" s="345"/>
      <c r="AI4" s="688"/>
      <c r="AQ4" s="638"/>
      <c r="AR4" s="638"/>
      <c r="AS4" s="359" t="s">
        <v>1677</v>
      </c>
      <c r="AT4" s="359" t="s">
        <v>1678</v>
      </c>
      <c r="AU4" s="365" t="s">
        <v>824</v>
      </c>
      <c r="AV4" s="365" t="s">
        <v>831</v>
      </c>
      <c r="AW4" s="365" t="s">
        <v>825</v>
      </c>
      <c r="AX4" s="144" t="s">
        <v>827</v>
      </c>
      <c r="AY4" s="144" t="s">
        <v>826</v>
      </c>
      <c r="AZ4" s="365" t="s">
        <v>833</v>
      </c>
      <c r="BA4" s="365" t="s">
        <v>1179</v>
      </c>
      <c r="BB4" s="365" t="s">
        <v>1178</v>
      </c>
      <c r="BC4" s="365" t="s">
        <v>826</v>
      </c>
      <c r="BD4" s="365" t="s">
        <v>834</v>
      </c>
      <c r="BE4" s="365" t="s">
        <v>834</v>
      </c>
    </row>
    <row r="5" spans="1:57" ht="35" customHeight="1" thickTop="1" x14ac:dyDescent="0.3">
      <c r="A5" s="456" t="s">
        <v>1829</v>
      </c>
      <c r="B5" s="331" t="s">
        <v>1167</v>
      </c>
      <c r="C5" s="331" t="s">
        <v>66</v>
      </c>
      <c r="D5" s="331" t="s">
        <v>152</v>
      </c>
      <c r="E5" s="331" t="str">
        <f>D5</f>
        <v>Seawalls</v>
      </c>
      <c r="F5" s="318" t="s">
        <v>230</v>
      </c>
      <c r="G5" s="331" t="s">
        <v>724</v>
      </c>
      <c r="H5" s="493" t="s">
        <v>1440</v>
      </c>
      <c r="I5" s="331" t="s">
        <v>1446</v>
      </c>
      <c r="J5" s="331" t="s">
        <v>1447</v>
      </c>
      <c r="K5" s="331" t="s">
        <v>1444</v>
      </c>
      <c r="L5" s="331" t="s">
        <v>1445</v>
      </c>
      <c r="M5" s="331" t="s">
        <v>194</v>
      </c>
      <c r="N5" s="494">
        <v>117</v>
      </c>
      <c r="O5" s="331">
        <v>5</v>
      </c>
      <c r="P5" s="331" t="s">
        <v>1450</v>
      </c>
      <c r="Q5" s="331">
        <f>'GRC and TUL Assumptions'!E$95</f>
        <v>40</v>
      </c>
      <c r="R5" s="331">
        <v>1992</v>
      </c>
      <c r="S5" s="331" t="s">
        <v>800</v>
      </c>
      <c r="T5" s="331">
        <f>R5</f>
        <v>1992</v>
      </c>
      <c r="U5" s="331" t="str">
        <f>S5</f>
        <v>Estimated</v>
      </c>
      <c r="V5" s="331"/>
      <c r="W5" s="458">
        <f>AU5</f>
        <v>141311.69854142892</v>
      </c>
      <c r="X5" s="331" t="s">
        <v>800</v>
      </c>
      <c r="Y5" s="512">
        <f>AY5</f>
        <v>105983.7739060717</v>
      </c>
      <c r="Z5" s="517">
        <f>W5-Y5</f>
        <v>35327.924635357223</v>
      </c>
      <c r="AA5" s="512">
        <f>AZ5</f>
        <v>3532.7924635357231</v>
      </c>
      <c r="AB5" s="517">
        <f>Z5-AA5</f>
        <v>31795.1321718215</v>
      </c>
      <c r="AC5" s="511">
        <f>HLOOKUP($C$1,'Inflation Adjustments'!$BI$3:$BT$4,2)*AS5</f>
        <v>611290.08281249995</v>
      </c>
      <c r="AD5" s="512">
        <f>IF(AI5="In Service",AC5*'Maintenace Cost Assumptions'!$B$11,0)</f>
        <v>12225.80165625</v>
      </c>
      <c r="AE5" s="331">
        <v>4</v>
      </c>
      <c r="AF5" s="331">
        <v>4</v>
      </c>
      <c r="AG5" s="319">
        <f t="shared" ref="AG5:AG33" si="0">(AE5*6+AF5*2)/(5*6+5*2)</f>
        <v>0.8</v>
      </c>
      <c r="AH5" s="495" t="s">
        <v>1448</v>
      </c>
      <c r="AI5" s="496" t="s">
        <v>1430</v>
      </c>
      <c r="AK5" s="216"/>
      <c r="AP5" s="144" t="str">
        <f>'GRC and TUL Assumptions'!A92</f>
        <v>Sea Wall - Steel Reinforced Concrete</v>
      </c>
      <c r="AQ5" s="497">
        <v>7500</v>
      </c>
      <c r="AR5" s="498" t="str">
        <f t="shared" ref="AR5:AR22" si="1">A5</f>
        <v>SWCP-001</v>
      </c>
      <c r="AS5" s="366">
        <f>VLOOKUP(F5,$AP$5:$AQ$8,2,FALSE)*N5</f>
        <v>409500</v>
      </c>
      <c r="AT5" s="366">
        <f>AS5*'Inflation Adjustments'!BM$4</f>
        <v>611290.08281249995</v>
      </c>
      <c r="AU5" s="366">
        <f>(HLOOKUP($T5,'Inflation Adjustments'!$B$3:$BT$4,2,TRUE))*AS5</f>
        <v>141311.69854142892</v>
      </c>
      <c r="AV5" s="379">
        <f>$C$1-T5-1</f>
        <v>30</v>
      </c>
      <c r="AW5" s="384">
        <f>Q5</f>
        <v>40</v>
      </c>
      <c r="AX5" s="499">
        <f>AU5/AW5</f>
        <v>3532.7924635357231</v>
      </c>
      <c r="AY5" s="499">
        <f>IF(AV5*$AX5&gt;AU5,AU5,AV5*$AX5)</f>
        <v>105983.7739060717</v>
      </c>
      <c r="AZ5" s="500">
        <f>IF(AX5&lt;(AU5-AY5),AX5,(AU5-AY5))</f>
        <v>3532.7924635357231</v>
      </c>
      <c r="BA5" s="355">
        <v>0</v>
      </c>
      <c r="BB5" s="481"/>
      <c r="BC5" s="282">
        <v>0</v>
      </c>
      <c r="BD5" s="482">
        <v>0</v>
      </c>
      <c r="BE5" s="482">
        <v>0</v>
      </c>
    </row>
    <row r="6" spans="1:57" ht="35" customHeight="1" x14ac:dyDescent="0.3">
      <c r="A6" s="330" t="s">
        <v>1830</v>
      </c>
      <c r="B6" s="318" t="s">
        <v>1166</v>
      </c>
      <c r="C6" s="318" t="s">
        <v>66</v>
      </c>
      <c r="D6" s="318" t="s">
        <v>152</v>
      </c>
      <c r="E6" s="318" t="str">
        <f>D6</f>
        <v>Seawalls</v>
      </c>
      <c r="F6" s="318" t="s">
        <v>227</v>
      </c>
      <c r="G6" s="318" t="s">
        <v>724</v>
      </c>
      <c r="H6" s="501" t="s">
        <v>1451</v>
      </c>
      <c r="I6" s="318" t="s">
        <v>1452</v>
      </c>
      <c r="J6" s="318" t="s">
        <v>1454</v>
      </c>
      <c r="K6" s="318" t="s">
        <v>1453</v>
      </c>
      <c r="L6" s="318" t="s">
        <v>1455</v>
      </c>
      <c r="M6" s="318" t="s">
        <v>194</v>
      </c>
      <c r="N6" s="502">
        <v>155</v>
      </c>
      <c r="O6" s="318">
        <v>5</v>
      </c>
      <c r="P6" s="318" t="s">
        <v>1456</v>
      </c>
      <c r="Q6" s="318">
        <f>'GRC and TUL Assumptions'!E92</f>
        <v>60</v>
      </c>
      <c r="R6" s="318">
        <v>1992</v>
      </c>
      <c r="S6" s="318" t="s">
        <v>800</v>
      </c>
      <c r="T6" s="318">
        <f>R6</f>
        <v>1992</v>
      </c>
      <c r="U6" s="318" t="s">
        <v>800</v>
      </c>
      <c r="V6" s="318"/>
      <c r="W6" s="458">
        <f t="shared" ref="W6:W31" si="2">AU6</f>
        <v>401159.58377145568</v>
      </c>
      <c r="X6" s="318" t="s">
        <v>800</v>
      </c>
      <c r="Y6" s="512">
        <f t="shared" ref="Y6:Y31" si="3">AY6</f>
        <v>200579.79188572784</v>
      </c>
      <c r="Z6" s="517">
        <f t="shared" ref="Z6:Z31" si="4">W6-Y6</f>
        <v>200579.79188572784</v>
      </c>
      <c r="AA6" s="512">
        <f t="shared" ref="AA6:AA31" si="5">AZ6</f>
        <v>6685.9930628575949</v>
      </c>
      <c r="AB6" s="517">
        <f t="shared" ref="AB6:AB31" si="6">Z6-AA6</f>
        <v>193893.79882287025</v>
      </c>
      <c r="AC6" s="511">
        <f>HLOOKUP($C$1,'Inflation Adjustments'!$BI$3:$BT$4,2)*AS6</f>
        <v>1735347.3046874998</v>
      </c>
      <c r="AD6" s="511">
        <f>IF(AI6="In Service",AC6*'Maintenace Cost Assumptions'!$B$13,0)</f>
        <v>8676.7365234374993</v>
      </c>
      <c r="AE6" s="318">
        <v>4</v>
      </c>
      <c r="AF6" s="318">
        <v>4</v>
      </c>
      <c r="AG6" s="332">
        <f t="shared" si="0"/>
        <v>0.8</v>
      </c>
      <c r="AH6" s="455" t="s">
        <v>1457</v>
      </c>
      <c r="AI6" s="454" t="s">
        <v>1430</v>
      </c>
      <c r="AP6" s="144" t="str">
        <f>'GRC and TUL Assumptions'!A93</f>
        <v>Masonry Wall of Rock (Std)</v>
      </c>
      <c r="AQ6" s="497">
        <v>4500</v>
      </c>
      <c r="AR6" s="498" t="str">
        <f t="shared" si="1"/>
        <v>SWCP-002</v>
      </c>
      <c r="AS6" s="366">
        <f t="shared" ref="AS6:AS22" si="7">VLOOKUP(F6,$AP$5:$AQ$8,2,FALSE)*N6</f>
        <v>1162500</v>
      </c>
      <c r="AT6" s="366">
        <f>AS6*'Inflation Adjustments'!BM$4</f>
        <v>1735347.3046874998</v>
      </c>
      <c r="AU6" s="366">
        <f>(HLOOKUP($T6,'Inflation Adjustments'!$B$3:$BT$4,2,TRUE))*AS6</f>
        <v>401159.58377145568</v>
      </c>
      <c r="AV6" s="379">
        <f t="shared" ref="AV6:AV31" si="8">$C$1-T6-1</f>
        <v>30</v>
      </c>
      <c r="AW6" s="384">
        <f t="shared" ref="AW6:AW31" si="9">Q6</f>
        <v>60</v>
      </c>
      <c r="AX6" s="499">
        <f t="shared" ref="AX6:AX31" si="10">AU6/AW6</f>
        <v>6685.9930628575949</v>
      </c>
      <c r="AY6" s="499">
        <f t="shared" ref="AY6:AY31" si="11">IF(AV6*$AX6&gt;AU6,AU6,AV6*$AX6)</f>
        <v>200579.79188572784</v>
      </c>
      <c r="AZ6" s="500">
        <f t="shared" ref="AZ6:AZ31" si="12">IF(AX6&lt;(AU6-AY6),AX6,(AU6-AY6))</f>
        <v>6685.9930628575949</v>
      </c>
      <c r="BA6" s="355">
        <v>0</v>
      </c>
      <c r="BB6" s="481"/>
      <c r="BC6" s="282">
        <v>0</v>
      </c>
      <c r="BD6" s="482">
        <v>0</v>
      </c>
      <c r="BE6" s="482">
        <v>0</v>
      </c>
    </row>
    <row r="7" spans="1:57" ht="35" customHeight="1" x14ac:dyDescent="0.3">
      <c r="A7" s="330" t="s">
        <v>1831</v>
      </c>
      <c r="B7" s="451" t="s">
        <v>1363</v>
      </c>
      <c r="C7" s="318" t="s">
        <v>66</v>
      </c>
      <c r="D7" s="318" t="s">
        <v>152</v>
      </c>
      <c r="E7" s="318" t="str">
        <f t="shared" ref="E7:E8" si="13">D7</f>
        <v>Seawalls</v>
      </c>
      <c r="F7" s="318" t="s">
        <v>230</v>
      </c>
      <c r="G7" s="318" t="s">
        <v>1161</v>
      </c>
      <c r="H7" s="318">
        <v>280</v>
      </c>
      <c r="I7" s="318" t="s">
        <v>1214</v>
      </c>
      <c r="J7" s="318" t="s">
        <v>1454</v>
      </c>
      <c r="K7" s="318" t="s">
        <v>1458</v>
      </c>
      <c r="L7" s="318" t="s">
        <v>1459</v>
      </c>
      <c r="M7" s="318" t="s">
        <v>194</v>
      </c>
      <c r="N7" s="333">
        <v>544</v>
      </c>
      <c r="O7" s="331">
        <v>2</v>
      </c>
      <c r="P7" s="331" t="s">
        <v>1450</v>
      </c>
      <c r="Q7" s="318">
        <f>'GRC and TUL Assumptions'!E$95</f>
        <v>40</v>
      </c>
      <c r="R7" s="318">
        <v>1992</v>
      </c>
      <c r="S7" s="318" t="s">
        <v>800</v>
      </c>
      <c r="T7" s="318">
        <v>1992</v>
      </c>
      <c r="U7" s="318" t="str">
        <f>S7</f>
        <v>Estimated</v>
      </c>
      <c r="V7" s="318"/>
      <c r="W7" s="458">
        <f t="shared" si="2"/>
        <v>657039.00860288308</v>
      </c>
      <c r="X7" s="318" t="s">
        <v>800</v>
      </c>
      <c r="Y7" s="512">
        <f t="shared" si="3"/>
        <v>492779.25645216234</v>
      </c>
      <c r="Z7" s="517">
        <f t="shared" si="4"/>
        <v>164259.75215072074</v>
      </c>
      <c r="AA7" s="512">
        <f t="shared" si="5"/>
        <v>16425.975215072078</v>
      </c>
      <c r="AB7" s="517">
        <f t="shared" si="6"/>
        <v>147833.77693564867</v>
      </c>
      <c r="AC7" s="511">
        <f>HLOOKUP($C$1,'Inflation Adjustments'!$BI$3:$BT$4,2)*AS7</f>
        <v>2842237.65</v>
      </c>
      <c r="AD7" s="511">
        <f>IF(AI7="In Service",AC7*'Maintenace Cost Assumptions'!$B$11,0)</f>
        <v>56844.752999999997</v>
      </c>
      <c r="AE7" s="318">
        <v>4</v>
      </c>
      <c r="AF7" s="318">
        <v>4</v>
      </c>
      <c r="AG7" s="332">
        <f t="shared" si="0"/>
        <v>0.8</v>
      </c>
      <c r="AH7" s="455" t="s">
        <v>1448</v>
      </c>
      <c r="AI7" s="454" t="s">
        <v>1430</v>
      </c>
      <c r="AP7" s="144" t="str">
        <f>'GRC and TUL Assumptions'!A94</f>
        <v>Masonry Wall of Rock (Superior)</v>
      </c>
      <c r="AQ7" s="497">
        <v>5500</v>
      </c>
      <c r="AR7" s="144" t="str">
        <f t="shared" si="1"/>
        <v>SWCP-003</v>
      </c>
      <c r="AS7" s="366">
        <f t="shared" si="7"/>
        <v>1904000</v>
      </c>
      <c r="AT7" s="366">
        <f>AS7*'Inflation Adjustments'!BM$4</f>
        <v>2842237.65</v>
      </c>
      <c r="AU7" s="366">
        <f>(HLOOKUP($T7,'Inflation Adjustments'!$B$3:$BT$4,2,TRUE))*AS7</f>
        <v>657039.00860288308</v>
      </c>
      <c r="AV7" s="379">
        <f t="shared" si="8"/>
        <v>30</v>
      </c>
      <c r="AW7" s="384">
        <f t="shared" si="9"/>
        <v>40</v>
      </c>
      <c r="AX7" s="499">
        <f t="shared" si="10"/>
        <v>16425.975215072078</v>
      </c>
      <c r="AY7" s="499">
        <f t="shared" si="11"/>
        <v>492779.25645216234</v>
      </c>
      <c r="AZ7" s="500">
        <f t="shared" si="12"/>
        <v>16425.975215072078</v>
      </c>
      <c r="BA7" s="355">
        <v>0</v>
      </c>
      <c r="BB7" s="481"/>
      <c r="BC7" s="282">
        <v>0</v>
      </c>
      <c r="BD7" s="482">
        <v>0</v>
      </c>
      <c r="BE7" s="482">
        <v>0</v>
      </c>
    </row>
    <row r="8" spans="1:57" ht="35" customHeight="1" x14ac:dyDescent="0.3">
      <c r="A8" s="456" t="s">
        <v>1832</v>
      </c>
      <c r="B8" s="451" t="s">
        <v>1211</v>
      </c>
      <c r="C8" s="318" t="s">
        <v>66</v>
      </c>
      <c r="D8" s="318" t="s">
        <v>152</v>
      </c>
      <c r="E8" s="318" t="str">
        <f t="shared" si="13"/>
        <v>Seawalls</v>
      </c>
      <c r="F8" s="318" t="s">
        <v>230</v>
      </c>
      <c r="G8" s="318" t="s">
        <v>1161</v>
      </c>
      <c r="H8" s="318">
        <v>820</v>
      </c>
      <c r="I8" s="318" t="s">
        <v>1458</v>
      </c>
      <c r="J8" s="318" t="s">
        <v>1459</v>
      </c>
      <c r="K8" s="318" t="s">
        <v>1462</v>
      </c>
      <c r="L8" s="318" t="s">
        <v>1463</v>
      </c>
      <c r="M8" s="318" t="s">
        <v>194</v>
      </c>
      <c r="N8" s="333">
        <v>354</v>
      </c>
      <c r="O8" s="318">
        <v>2</v>
      </c>
      <c r="P8" s="318" t="s">
        <v>1461</v>
      </c>
      <c r="Q8" s="318">
        <f>'GRC and TUL Assumptions'!E$95</f>
        <v>40</v>
      </c>
      <c r="R8" s="318">
        <v>1976</v>
      </c>
      <c r="S8" s="318" t="s">
        <v>800</v>
      </c>
      <c r="T8" s="318">
        <v>1976</v>
      </c>
      <c r="U8" s="318" t="str">
        <f>S8</f>
        <v>Estimated</v>
      </c>
      <c r="V8" s="318"/>
      <c r="W8" s="458">
        <f t="shared" si="2"/>
        <v>228276.96405682003</v>
      </c>
      <c r="X8" s="318" t="s">
        <v>800</v>
      </c>
      <c r="Y8" s="512">
        <f t="shared" si="3"/>
        <v>228276.96405682003</v>
      </c>
      <c r="Z8" s="517">
        <f t="shared" si="4"/>
        <v>0</v>
      </c>
      <c r="AA8" s="512">
        <f t="shared" si="5"/>
        <v>0</v>
      </c>
      <c r="AB8" s="517">
        <f t="shared" si="6"/>
        <v>0</v>
      </c>
      <c r="AC8" s="511">
        <f>HLOOKUP($C$1,'Inflation Adjustments'!$BI$3:$BT$4,2)*AS8</f>
        <v>1849544.3531249999</v>
      </c>
      <c r="AD8" s="511">
        <f>IF(AI8="In Service",AC8*'Maintenace Cost Assumptions'!$B$11,0)</f>
        <v>36990.887062499998</v>
      </c>
      <c r="AE8" s="318">
        <v>3</v>
      </c>
      <c r="AF8" s="318">
        <v>3</v>
      </c>
      <c r="AG8" s="332">
        <f t="shared" si="0"/>
        <v>0.6</v>
      </c>
      <c r="AH8" s="455" t="s">
        <v>1464</v>
      </c>
      <c r="AI8" s="454" t="s">
        <v>1430</v>
      </c>
      <c r="AP8" s="144" t="str">
        <f>'GRC and TUL Assumptions'!A95</f>
        <v xml:space="preserve">Rip rap </v>
      </c>
      <c r="AQ8" s="497">
        <v>3500</v>
      </c>
      <c r="AR8" s="144" t="str">
        <f t="shared" si="1"/>
        <v>SWCP-004</v>
      </c>
      <c r="AS8" s="366">
        <f t="shared" si="7"/>
        <v>1239000</v>
      </c>
      <c r="AT8" s="366">
        <f>AS8*'Inflation Adjustments'!BM$4</f>
        <v>1849544.3531249999</v>
      </c>
      <c r="AU8" s="366">
        <f>(HLOOKUP($T8,'Inflation Adjustments'!$B$3:$BT$4,2,TRUE))*AS8</f>
        <v>228276.96405682003</v>
      </c>
      <c r="AV8" s="379">
        <f t="shared" si="8"/>
        <v>46</v>
      </c>
      <c r="AW8" s="384">
        <f t="shared" si="9"/>
        <v>40</v>
      </c>
      <c r="AX8" s="499">
        <f t="shared" si="10"/>
        <v>5706.9241014205008</v>
      </c>
      <c r="AY8" s="499">
        <f t="shared" si="11"/>
        <v>228276.96405682003</v>
      </c>
      <c r="AZ8" s="500">
        <f t="shared" si="12"/>
        <v>0</v>
      </c>
      <c r="BA8" s="355">
        <v>0</v>
      </c>
      <c r="BB8" s="481"/>
      <c r="BC8" s="282">
        <v>0</v>
      </c>
      <c r="BD8" s="482">
        <v>0</v>
      </c>
      <c r="BE8" s="482">
        <v>0</v>
      </c>
    </row>
    <row r="9" spans="1:57" ht="35" customHeight="1" x14ac:dyDescent="0.3">
      <c r="A9" s="330" t="s">
        <v>1833</v>
      </c>
      <c r="B9" s="451" t="s">
        <v>1211</v>
      </c>
      <c r="C9" s="318" t="s">
        <v>66</v>
      </c>
      <c r="D9" s="318" t="s">
        <v>152</v>
      </c>
      <c r="E9" s="318" t="str">
        <f t="shared" ref="E9:E12" si="14">D9</f>
        <v>Seawalls</v>
      </c>
      <c r="F9" s="318" t="s">
        <v>230</v>
      </c>
      <c r="G9" s="318" t="s">
        <v>1161</v>
      </c>
      <c r="H9" s="318">
        <v>1240</v>
      </c>
      <c r="I9" s="318" t="s">
        <v>1466</v>
      </c>
      <c r="J9" s="318" t="s">
        <v>1467</v>
      </c>
      <c r="K9" s="318" t="s">
        <v>1468</v>
      </c>
      <c r="L9" s="318" t="s">
        <v>1469</v>
      </c>
      <c r="M9" s="318" t="s">
        <v>194</v>
      </c>
      <c r="N9" s="333">
        <v>899</v>
      </c>
      <c r="O9" s="318" t="s">
        <v>1465</v>
      </c>
      <c r="P9" s="318" t="s">
        <v>1461</v>
      </c>
      <c r="Q9" s="318">
        <f>'GRC and TUL Assumptions'!E$95</f>
        <v>40</v>
      </c>
      <c r="R9" s="318">
        <v>1976</v>
      </c>
      <c r="S9" s="318" t="s">
        <v>800</v>
      </c>
      <c r="T9" s="318">
        <v>1976</v>
      </c>
      <c r="U9" s="318" t="str">
        <f>S9</f>
        <v>Estimated</v>
      </c>
      <c r="V9" s="318"/>
      <c r="W9" s="458">
        <f t="shared" si="2"/>
        <v>579720.3126753706</v>
      </c>
      <c r="X9" s="318" t="s">
        <v>800</v>
      </c>
      <c r="Y9" s="512">
        <f t="shared" si="3"/>
        <v>579720.3126753706</v>
      </c>
      <c r="Z9" s="517">
        <f t="shared" si="4"/>
        <v>0</v>
      </c>
      <c r="AA9" s="512">
        <f t="shared" si="5"/>
        <v>0</v>
      </c>
      <c r="AB9" s="517">
        <f t="shared" si="6"/>
        <v>0</v>
      </c>
      <c r="AC9" s="511">
        <f>HLOOKUP($C$1,'Inflation Adjustments'!$BI$3:$BT$4,2)*AS9</f>
        <v>4697006.7046874994</v>
      </c>
      <c r="AD9" s="511">
        <f>IF(AI9="In Service",AC9*'Maintenace Cost Assumptions'!$B$11,0)</f>
        <v>93940.134093749992</v>
      </c>
      <c r="AE9" s="318">
        <v>3</v>
      </c>
      <c r="AF9" s="318">
        <v>3</v>
      </c>
      <c r="AG9" s="332">
        <f t="shared" si="0"/>
        <v>0.6</v>
      </c>
      <c r="AH9" s="455" t="s">
        <v>1464</v>
      </c>
      <c r="AI9" s="454" t="s">
        <v>1430</v>
      </c>
      <c r="AQ9" s="503"/>
      <c r="AR9" s="144" t="str">
        <f t="shared" si="1"/>
        <v>SWCP-005</v>
      </c>
      <c r="AS9" s="366">
        <f t="shared" si="7"/>
        <v>3146500</v>
      </c>
      <c r="AT9" s="366">
        <f>AS9*'Inflation Adjustments'!BM$4</f>
        <v>4697006.7046874994</v>
      </c>
      <c r="AU9" s="366">
        <f>(HLOOKUP($T9,'Inflation Adjustments'!$B$3:$BT$4,2,TRUE))*AS9</f>
        <v>579720.3126753706</v>
      </c>
      <c r="AV9" s="379">
        <f t="shared" si="8"/>
        <v>46</v>
      </c>
      <c r="AW9" s="384">
        <f t="shared" si="9"/>
        <v>40</v>
      </c>
      <c r="AX9" s="499">
        <f t="shared" si="10"/>
        <v>14493.007816884265</v>
      </c>
      <c r="AY9" s="499">
        <f t="shared" si="11"/>
        <v>579720.3126753706</v>
      </c>
      <c r="AZ9" s="500">
        <f t="shared" si="12"/>
        <v>0</v>
      </c>
      <c r="BA9" s="355">
        <v>0</v>
      </c>
      <c r="BB9" s="481"/>
      <c r="BC9" s="282">
        <v>0</v>
      </c>
      <c r="BD9" s="482">
        <v>0</v>
      </c>
      <c r="BE9" s="482">
        <v>0</v>
      </c>
    </row>
    <row r="10" spans="1:57" ht="35" customHeight="1" x14ac:dyDescent="0.4">
      <c r="A10" s="330" t="s">
        <v>1834</v>
      </c>
      <c r="B10" s="451" t="s">
        <v>1232</v>
      </c>
      <c r="C10" s="318" t="s">
        <v>66</v>
      </c>
      <c r="D10" s="318" t="s">
        <v>152</v>
      </c>
      <c r="E10" s="318" t="str">
        <f t="shared" si="14"/>
        <v>Seawalls</v>
      </c>
      <c r="F10" s="318" t="s">
        <v>230</v>
      </c>
      <c r="G10" s="318" t="s">
        <v>1161</v>
      </c>
      <c r="H10" s="318">
        <v>2310</v>
      </c>
      <c r="I10" s="318" t="s">
        <v>1470</v>
      </c>
      <c r="J10" s="318" t="s">
        <v>1471</v>
      </c>
      <c r="K10" s="318" t="s">
        <v>1472</v>
      </c>
      <c r="L10" s="318" t="s">
        <v>1473</v>
      </c>
      <c r="M10" s="318" t="s">
        <v>194</v>
      </c>
      <c r="N10" s="333">
        <v>167</v>
      </c>
      <c r="O10" s="318">
        <v>2.5</v>
      </c>
      <c r="P10" s="318" t="s">
        <v>1461</v>
      </c>
      <c r="Q10" s="318">
        <f>'GRC and TUL Assumptions'!E$95</f>
        <v>40</v>
      </c>
      <c r="R10" s="318">
        <v>1992</v>
      </c>
      <c r="S10" s="318" t="s">
        <v>800</v>
      </c>
      <c r="T10" s="318">
        <v>1992</v>
      </c>
      <c r="U10" s="318" t="str">
        <f>S10</f>
        <v>Estimated</v>
      </c>
      <c r="V10" s="318"/>
      <c r="W10" s="458">
        <f t="shared" si="2"/>
        <v>201701.31330272331</v>
      </c>
      <c r="X10" s="318" t="s">
        <v>800</v>
      </c>
      <c r="Y10" s="512">
        <f t="shared" si="3"/>
        <v>151275.98497704248</v>
      </c>
      <c r="Z10" s="517">
        <f t="shared" si="4"/>
        <v>50425.328325680835</v>
      </c>
      <c r="AA10" s="512">
        <f t="shared" si="5"/>
        <v>5042.532832568083</v>
      </c>
      <c r="AB10" s="517">
        <f t="shared" si="6"/>
        <v>45382.795493112753</v>
      </c>
      <c r="AC10" s="511">
        <f>HLOOKUP($C$1,'Inflation Adjustments'!$BI$3:$BT$4,2)*AS10</f>
        <v>872525.16093749995</v>
      </c>
      <c r="AD10" s="511">
        <f>IF(AI10="In Service",AC10*'Maintenace Cost Assumptions'!$B$11,0)</f>
        <v>17450.50321875</v>
      </c>
      <c r="AE10" s="318">
        <v>4</v>
      </c>
      <c r="AF10" s="318">
        <v>4</v>
      </c>
      <c r="AG10" s="332">
        <f t="shared" si="0"/>
        <v>0.8</v>
      </c>
      <c r="AH10" s="455" t="s">
        <v>1448</v>
      </c>
      <c r="AI10" s="454" t="s">
        <v>1430</v>
      </c>
      <c r="AK10" s="217"/>
      <c r="AQ10" s="503"/>
      <c r="AR10" s="144" t="str">
        <f t="shared" si="1"/>
        <v>SWCP-006</v>
      </c>
      <c r="AS10" s="366">
        <f t="shared" si="7"/>
        <v>584500</v>
      </c>
      <c r="AT10" s="366">
        <f>AS10*'Inflation Adjustments'!BM$4</f>
        <v>872525.16093749995</v>
      </c>
      <c r="AU10" s="366">
        <f>(HLOOKUP($T10,'Inflation Adjustments'!$B$3:$BT$4,2,TRUE))*AS10</f>
        <v>201701.31330272331</v>
      </c>
      <c r="AV10" s="379">
        <f t="shared" si="8"/>
        <v>30</v>
      </c>
      <c r="AW10" s="384">
        <f t="shared" si="9"/>
        <v>40</v>
      </c>
      <c r="AX10" s="499">
        <f t="shared" si="10"/>
        <v>5042.532832568083</v>
      </c>
      <c r="AY10" s="499">
        <f t="shared" si="11"/>
        <v>151275.98497704248</v>
      </c>
      <c r="AZ10" s="500">
        <f t="shared" si="12"/>
        <v>5042.532832568083</v>
      </c>
      <c r="BA10" s="355">
        <v>0</v>
      </c>
      <c r="BB10" s="481"/>
      <c r="BC10" s="282">
        <v>0</v>
      </c>
      <c r="BD10" s="482">
        <v>0</v>
      </c>
      <c r="BE10" s="482">
        <v>0</v>
      </c>
    </row>
    <row r="11" spans="1:57" ht="35" customHeight="1" x14ac:dyDescent="0.3">
      <c r="A11" s="456" t="s">
        <v>1835</v>
      </c>
      <c r="B11" s="451" t="s">
        <v>1230</v>
      </c>
      <c r="C11" s="318" t="s">
        <v>66</v>
      </c>
      <c r="D11" s="318" t="s">
        <v>152</v>
      </c>
      <c r="E11" s="318" t="str">
        <f t="shared" si="14"/>
        <v>Seawalls</v>
      </c>
      <c r="F11" s="318" t="s">
        <v>230</v>
      </c>
      <c r="G11" s="318" t="s">
        <v>1161</v>
      </c>
      <c r="H11" s="318">
        <v>2520</v>
      </c>
      <c r="I11" s="318" t="s">
        <v>1474</v>
      </c>
      <c r="J11" s="318" t="s">
        <v>1475</v>
      </c>
      <c r="K11" s="318" t="s">
        <v>1476</v>
      </c>
      <c r="L11" s="318" t="s">
        <v>1477</v>
      </c>
      <c r="M11" s="318" t="s">
        <v>194</v>
      </c>
      <c r="N11" s="502">
        <v>117</v>
      </c>
      <c r="O11" s="318" t="s">
        <v>1478</v>
      </c>
      <c r="P11" s="318" t="s">
        <v>1479</v>
      </c>
      <c r="Q11" s="318">
        <f>'GRC and TUL Assumptions'!E$95</f>
        <v>40</v>
      </c>
      <c r="R11" s="318">
        <v>1992</v>
      </c>
      <c r="S11" s="318" t="s">
        <v>800</v>
      </c>
      <c r="T11" s="318">
        <v>1992</v>
      </c>
      <c r="U11" s="318" t="str">
        <f t="shared" ref="U11:U13" si="15">S11</f>
        <v>Estimated</v>
      </c>
      <c r="V11" s="318"/>
      <c r="W11" s="458">
        <f t="shared" si="2"/>
        <v>141311.69854142892</v>
      </c>
      <c r="X11" s="318" t="s">
        <v>800</v>
      </c>
      <c r="Y11" s="512">
        <f t="shared" si="3"/>
        <v>105983.7739060717</v>
      </c>
      <c r="Z11" s="517">
        <f t="shared" si="4"/>
        <v>35327.924635357223</v>
      </c>
      <c r="AA11" s="512">
        <f t="shared" si="5"/>
        <v>3532.7924635357231</v>
      </c>
      <c r="AB11" s="517">
        <f t="shared" si="6"/>
        <v>31795.1321718215</v>
      </c>
      <c r="AC11" s="511">
        <f>HLOOKUP($C$1,'Inflation Adjustments'!$BI$3:$BT$4,2)*AS11</f>
        <v>611290.08281249995</v>
      </c>
      <c r="AD11" s="511">
        <f>IF(AI11="In Service",AC11*'Maintenace Cost Assumptions'!$B$11,0)</f>
        <v>12225.80165625</v>
      </c>
      <c r="AE11" s="318">
        <v>3</v>
      </c>
      <c r="AF11" s="318">
        <v>3</v>
      </c>
      <c r="AG11" s="332">
        <f t="shared" si="0"/>
        <v>0.6</v>
      </c>
      <c r="AH11" s="455" t="s">
        <v>1464</v>
      </c>
      <c r="AI11" s="454" t="s">
        <v>1430</v>
      </c>
      <c r="AQ11" s="503"/>
      <c r="AR11" s="144" t="str">
        <f t="shared" si="1"/>
        <v>SWCP-007</v>
      </c>
      <c r="AS11" s="366">
        <f t="shared" si="7"/>
        <v>409500</v>
      </c>
      <c r="AT11" s="366">
        <f>AS11*'Inflation Adjustments'!BM$4</f>
        <v>611290.08281249995</v>
      </c>
      <c r="AU11" s="366">
        <f>(HLOOKUP($T11,'Inflation Adjustments'!$B$3:$BT$4,2,TRUE))*AS11</f>
        <v>141311.69854142892</v>
      </c>
      <c r="AV11" s="379">
        <f t="shared" si="8"/>
        <v>30</v>
      </c>
      <c r="AW11" s="384">
        <f t="shared" si="9"/>
        <v>40</v>
      </c>
      <c r="AX11" s="499">
        <f t="shared" si="10"/>
        <v>3532.7924635357231</v>
      </c>
      <c r="AY11" s="499">
        <f t="shared" si="11"/>
        <v>105983.7739060717</v>
      </c>
      <c r="AZ11" s="500">
        <f t="shared" si="12"/>
        <v>3532.7924635357231</v>
      </c>
      <c r="BA11" s="355">
        <v>0</v>
      </c>
      <c r="BB11" s="481"/>
      <c r="BC11" s="282">
        <v>0</v>
      </c>
      <c r="BD11" s="482">
        <v>0</v>
      </c>
      <c r="BE11" s="482">
        <v>0</v>
      </c>
    </row>
    <row r="12" spans="1:57" ht="35" customHeight="1" x14ac:dyDescent="0.3">
      <c r="A12" s="330" t="s">
        <v>1836</v>
      </c>
      <c r="B12" s="451" t="s">
        <v>1231</v>
      </c>
      <c r="C12" s="318" t="s">
        <v>66</v>
      </c>
      <c r="D12" s="318" t="s">
        <v>152</v>
      </c>
      <c r="E12" s="318" t="str">
        <f t="shared" si="14"/>
        <v>Seawalls</v>
      </c>
      <c r="F12" s="318" t="s">
        <v>230</v>
      </c>
      <c r="G12" s="318" t="s">
        <v>1161</v>
      </c>
      <c r="H12" s="318">
        <v>2830</v>
      </c>
      <c r="I12" s="318" t="s">
        <v>1480</v>
      </c>
      <c r="J12" s="318" t="s">
        <v>1481</v>
      </c>
      <c r="K12" s="318" t="s">
        <v>1482</v>
      </c>
      <c r="L12" s="318" t="s">
        <v>1483</v>
      </c>
      <c r="M12" s="318" t="s">
        <v>194</v>
      </c>
      <c r="N12" s="502">
        <v>203</v>
      </c>
      <c r="O12" s="318">
        <v>4.5</v>
      </c>
      <c r="P12" s="318" t="s">
        <v>1461</v>
      </c>
      <c r="Q12" s="318">
        <f>'GRC and TUL Assumptions'!E$95</f>
        <v>40</v>
      </c>
      <c r="R12" s="318">
        <v>1992</v>
      </c>
      <c r="S12" s="318" t="s">
        <v>800</v>
      </c>
      <c r="T12" s="318">
        <v>1992</v>
      </c>
      <c r="U12" s="318" t="str">
        <f t="shared" si="15"/>
        <v>Estimated</v>
      </c>
      <c r="V12" s="318"/>
      <c r="W12" s="458">
        <f t="shared" si="2"/>
        <v>245181.8359308553</v>
      </c>
      <c r="X12" s="318" t="s">
        <v>800</v>
      </c>
      <c r="Y12" s="512">
        <f t="shared" si="3"/>
        <v>183886.37694814149</v>
      </c>
      <c r="Z12" s="517">
        <f t="shared" si="4"/>
        <v>61295.458982713812</v>
      </c>
      <c r="AA12" s="512">
        <f t="shared" si="5"/>
        <v>6129.5458982713826</v>
      </c>
      <c r="AB12" s="517">
        <f t="shared" si="6"/>
        <v>55165.913084442429</v>
      </c>
      <c r="AC12" s="511">
        <f>HLOOKUP($C$1,'Inflation Adjustments'!$BI$3:$BT$4,2)*AS12</f>
        <v>1060614.4171874998</v>
      </c>
      <c r="AD12" s="511">
        <f>IF(AI12="In Service",AC12*'Maintenace Cost Assumptions'!$B$11,0)</f>
        <v>21212.288343749995</v>
      </c>
      <c r="AE12" s="318">
        <v>4</v>
      </c>
      <c r="AF12" s="318">
        <v>4</v>
      </c>
      <c r="AG12" s="332">
        <f t="shared" si="0"/>
        <v>0.8</v>
      </c>
      <c r="AH12" s="455" t="s">
        <v>1448</v>
      </c>
      <c r="AI12" s="454" t="s">
        <v>1430</v>
      </c>
      <c r="AQ12" s="282"/>
      <c r="AR12" s="144" t="str">
        <f t="shared" si="1"/>
        <v>SWCP-008</v>
      </c>
      <c r="AS12" s="366">
        <f t="shared" si="7"/>
        <v>710500</v>
      </c>
      <c r="AT12" s="366">
        <f>AS12*'Inflation Adjustments'!BM$4</f>
        <v>1060614.4171874998</v>
      </c>
      <c r="AU12" s="366">
        <f>(HLOOKUP($T12,'Inflation Adjustments'!$B$3:$BT$4,2,TRUE))*AS12</f>
        <v>245181.8359308553</v>
      </c>
      <c r="AV12" s="379">
        <f t="shared" si="8"/>
        <v>30</v>
      </c>
      <c r="AW12" s="384">
        <f t="shared" si="9"/>
        <v>40</v>
      </c>
      <c r="AX12" s="499">
        <f t="shared" si="10"/>
        <v>6129.5458982713826</v>
      </c>
      <c r="AY12" s="499">
        <f t="shared" si="11"/>
        <v>183886.37694814149</v>
      </c>
      <c r="AZ12" s="500">
        <f t="shared" si="12"/>
        <v>6129.5458982713826</v>
      </c>
      <c r="BA12" s="355">
        <v>0</v>
      </c>
      <c r="BB12" s="481"/>
      <c r="BC12" s="282">
        <v>0</v>
      </c>
      <c r="BD12" s="482">
        <v>0</v>
      </c>
      <c r="BE12" s="482">
        <v>0</v>
      </c>
    </row>
    <row r="13" spans="1:57" ht="35" customHeight="1" x14ac:dyDescent="0.3">
      <c r="A13" s="330" t="s">
        <v>1837</v>
      </c>
      <c r="B13" s="451" t="s">
        <v>1484</v>
      </c>
      <c r="C13" s="318" t="s">
        <v>66</v>
      </c>
      <c r="D13" s="318" t="s">
        <v>152</v>
      </c>
      <c r="E13" s="318" t="str">
        <f t="shared" ref="E13" si="16">D13</f>
        <v>Seawalls</v>
      </c>
      <c r="F13" s="318" t="s">
        <v>230</v>
      </c>
      <c r="G13" s="318" t="s">
        <v>726</v>
      </c>
      <c r="H13" s="318">
        <v>3060</v>
      </c>
      <c r="I13" s="318" t="s">
        <v>1486</v>
      </c>
      <c r="J13" s="318" t="s">
        <v>1487</v>
      </c>
      <c r="K13" s="318" t="s">
        <v>1488</v>
      </c>
      <c r="L13" s="318" t="s">
        <v>1489</v>
      </c>
      <c r="M13" s="318" t="s">
        <v>194</v>
      </c>
      <c r="N13" s="502">
        <v>66</v>
      </c>
      <c r="O13" s="318">
        <v>5.2</v>
      </c>
      <c r="P13" s="318" t="s">
        <v>1485</v>
      </c>
      <c r="Q13" s="318">
        <v>40</v>
      </c>
      <c r="R13" s="318">
        <v>1976</v>
      </c>
      <c r="S13" s="318" t="s">
        <v>800</v>
      </c>
      <c r="T13" s="318">
        <v>1976</v>
      </c>
      <c r="U13" s="318" t="str">
        <f t="shared" si="15"/>
        <v>Estimated</v>
      </c>
      <c r="V13" s="318"/>
      <c r="W13" s="458">
        <f t="shared" si="2"/>
        <v>42560.111942796953</v>
      </c>
      <c r="X13" s="318"/>
      <c r="Y13" s="512">
        <f t="shared" si="3"/>
        <v>42560.111942796953</v>
      </c>
      <c r="Z13" s="517">
        <f t="shared" si="4"/>
        <v>0</v>
      </c>
      <c r="AA13" s="512">
        <f t="shared" si="5"/>
        <v>0</v>
      </c>
      <c r="AB13" s="517">
        <f t="shared" si="6"/>
        <v>0</v>
      </c>
      <c r="AC13" s="511">
        <f>HLOOKUP($C$1,'Inflation Adjustments'!$BI$3:$BT$4,2)*AS13</f>
        <v>344830.30312499998</v>
      </c>
      <c r="AD13" s="511">
        <f>IF(AI13="In Service",AC13*'Maintenace Cost Assumptions'!$B$11,0)</f>
        <v>6896.6060625</v>
      </c>
      <c r="AE13" s="318">
        <v>2</v>
      </c>
      <c r="AF13" s="318">
        <v>2</v>
      </c>
      <c r="AG13" s="332">
        <f t="shared" si="0"/>
        <v>0.4</v>
      </c>
      <c r="AH13" s="455" t="s">
        <v>1490</v>
      </c>
      <c r="AI13" s="454" t="s">
        <v>1430</v>
      </c>
      <c r="AQ13" s="282"/>
      <c r="AR13" s="144" t="str">
        <f t="shared" si="1"/>
        <v>SWCP-009</v>
      </c>
      <c r="AS13" s="366">
        <f t="shared" si="7"/>
        <v>231000</v>
      </c>
      <c r="AT13" s="366">
        <f>AS13*'Inflation Adjustments'!BM$4</f>
        <v>344830.30312499998</v>
      </c>
      <c r="AU13" s="366">
        <f>(HLOOKUP($T13,'Inflation Adjustments'!$B$3:$BT$4,2,TRUE))*AS13</f>
        <v>42560.111942796953</v>
      </c>
      <c r="AV13" s="379">
        <f t="shared" si="8"/>
        <v>46</v>
      </c>
      <c r="AW13" s="384">
        <f t="shared" si="9"/>
        <v>40</v>
      </c>
      <c r="AX13" s="499">
        <f t="shared" si="10"/>
        <v>1064.0027985699239</v>
      </c>
      <c r="AY13" s="499">
        <f t="shared" si="11"/>
        <v>42560.111942796953</v>
      </c>
      <c r="AZ13" s="500">
        <f t="shared" si="12"/>
        <v>0</v>
      </c>
      <c r="BA13" s="355">
        <v>0</v>
      </c>
      <c r="BB13" s="481"/>
      <c r="BC13" s="282">
        <v>0</v>
      </c>
      <c r="BD13" s="482">
        <v>0</v>
      </c>
      <c r="BE13" s="482"/>
    </row>
    <row r="14" spans="1:57" ht="35" customHeight="1" x14ac:dyDescent="0.3">
      <c r="A14" s="456" t="s">
        <v>1838</v>
      </c>
      <c r="B14" s="318" t="s">
        <v>1497</v>
      </c>
      <c r="C14" s="318" t="s">
        <v>66</v>
      </c>
      <c r="D14" s="318" t="s">
        <v>152</v>
      </c>
      <c r="E14" s="318" t="str">
        <f>D14</f>
        <v>Seawalls</v>
      </c>
      <c r="F14" s="318" t="s">
        <v>229</v>
      </c>
      <c r="G14" s="318" t="s">
        <v>1174</v>
      </c>
      <c r="H14" s="318">
        <v>4310</v>
      </c>
      <c r="I14" s="318" t="s">
        <v>1492</v>
      </c>
      <c r="J14" s="318" t="s">
        <v>1493</v>
      </c>
      <c r="K14" s="318" t="s">
        <v>1494</v>
      </c>
      <c r="L14" s="318" t="s">
        <v>1473</v>
      </c>
      <c r="M14" s="318" t="s">
        <v>194</v>
      </c>
      <c r="N14" s="502">
        <v>360</v>
      </c>
      <c r="O14" s="318">
        <v>6.5</v>
      </c>
      <c r="P14" s="318" t="s">
        <v>1491</v>
      </c>
      <c r="Q14" s="318">
        <f>'GRC and TUL Assumptions'!E94</f>
        <v>50</v>
      </c>
      <c r="R14" s="318">
        <v>1975</v>
      </c>
      <c r="S14" s="318" t="s">
        <v>800</v>
      </c>
      <c r="T14" s="318">
        <f t="shared" ref="T14" si="17">R14</f>
        <v>1975</v>
      </c>
      <c r="U14" s="318" t="str">
        <f>S14</f>
        <v>Estimated</v>
      </c>
      <c r="V14" s="318">
        <v>2023</v>
      </c>
      <c r="W14" s="458">
        <f t="shared" si="2"/>
        <v>350770.15337470017</v>
      </c>
      <c r="X14" s="318" t="s">
        <v>800</v>
      </c>
      <c r="Y14" s="512">
        <f t="shared" si="3"/>
        <v>329723.94417221815</v>
      </c>
      <c r="Z14" s="517">
        <f t="shared" si="4"/>
        <v>21046.209202482016</v>
      </c>
      <c r="AA14" s="512">
        <f t="shared" si="5"/>
        <v>7015.4030674940032</v>
      </c>
      <c r="AB14" s="517">
        <f t="shared" si="6"/>
        <v>14030.806134988012</v>
      </c>
      <c r="AC14" s="511">
        <f>HLOOKUP($C$1,'Inflation Adjustments'!$BI$3:$BT$4,2)*AS14</f>
        <v>2955688.3124999995</v>
      </c>
      <c r="AD14" s="511">
        <f>IF(AI14="In Service",AC14*'Maintenace Cost Assumptions'!$B$12,0)</f>
        <v>29556.883124999997</v>
      </c>
      <c r="AE14" s="318">
        <v>3</v>
      </c>
      <c r="AF14" s="318">
        <v>3</v>
      </c>
      <c r="AG14" s="332">
        <f t="shared" si="0"/>
        <v>0.6</v>
      </c>
      <c r="AH14" s="453" t="s">
        <v>1495</v>
      </c>
      <c r="AI14" s="454" t="s">
        <v>1430</v>
      </c>
      <c r="AQ14" s="144"/>
      <c r="AR14" s="144" t="str">
        <f t="shared" si="1"/>
        <v>SWCP-010</v>
      </c>
      <c r="AS14" s="366">
        <f t="shared" si="7"/>
        <v>1980000</v>
      </c>
      <c r="AT14" s="366">
        <f>AS14*'Inflation Adjustments'!BM$4</f>
        <v>2955688.3124999995</v>
      </c>
      <c r="AU14" s="366">
        <f>(HLOOKUP($T14,'Inflation Adjustments'!$B$3:$BT$4,2,TRUE))*AS14</f>
        <v>350770.15337470017</v>
      </c>
      <c r="AV14" s="379">
        <f t="shared" si="8"/>
        <v>47</v>
      </c>
      <c r="AW14" s="384">
        <f t="shared" si="9"/>
        <v>50</v>
      </c>
      <c r="AX14" s="499">
        <f t="shared" si="10"/>
        <v>7015.4030674940032</v>
      </c>
      <c r="AY14" s="499">
        <f t="shared" si="11"/>
        <v>329723.94417221815</v>
      </c>
      <c r="AZ14" s="500">
        <f t="shared" si="12"/>
        <v>7015.4030674940032</v>
      </c>
      <c r="BA14" s="355">
        <v>0</v>
      </c>
      <c r="BB14" s="481"/>
      <c r="BC14" s="282">
        <v>0</v>
      </c>
      <c r="BD14" s="482">
        <v>0</v>
      </c>
      <c r="BE14" s="482">
        <v>0</v>
      </c>
    </row>
    <row r="15" spans="1:57" ht="35" customHeight="1" x14ac:dyDescent="0.3">
      <c r="A15" s="330" t="s">
        <v>1839</v>
      </c>
      <c r="B15" s="318" t="s">
        <v>1496</v>
      </c>
      <c r="C15" s="318" t="s">
        <v>66</v>
      </c>
      <c r="D15" s="318" t="s">
        <v>152</v>
      </c>
      <c r="E15" s="318" t="str">
        <f>D15</f>
        <v>Seawalls</v>
      </c>
      <c r="F15" s="318" t="s">
        <v>229</v>
      </c>
      <c r="G15" s="318" t="s">
        <v>1174</v>
      </c>
      <c r="H15" s="318">
        <v>4670</v>
      </c>
      <c r="I15" s="318" t="s">
        <v>1498</v>
      </c>
      <c r="J15" s="318" t="s">
        <v>1471</v>
      </c>
      <c r="K15" s="318" t="s">
        <v>1132</v>
      </c>
      <c r="L15" s="318" t="s">
        <v>1499</v>
      </c>
      <c r="M15" s="318" t="s">
        <v>194</v>
      </c>
      <c r="N15" s="502">
        <v>83</v>
      </c>
      <c r="O15" s="318">
        <v>4</v>
      </c>
      <c r="P15" s="318" t="s">
        <v>1500</v>
      </c>
      <c r="Q15" s="318">
        <v>50</v>
      </c>
      <c r="R15" s="318">
        <v>1975</v>
      </c>
      <c r="S15" s="318" t="s">
        <v>800</v>
      </c>
      <c r="T15" s="318">
        <f t="shared" ref="T15" si="18">R15</f>
        <v>1975</v>
      </c>
      <c r="U15" s="318" t="str">
        <f>S15</f>
        <v>Estimated</v>
      </c>
      <c r="V15" s="318"/>
      <c r="W15" s="458">
        <f t="shared" si="2"/>
        <v>80872.007583611427</v>
      </c>
      <c r="X15" s="318" t="s">
        <v>800</v>
      </c>
      <c r="Y15" s="512">
        <f t="shared" si="3"/>
        <v>76019.687128594742</v>
      </c>
      <c r="Z15" s="517">
        <f t="shared" si="4"/>
        <v>4852.3204550166847</v>
      </c>
      <c r="AA15" s="512">
        <f t="shared" si="5"/>
        <v>1617.4401516722285</v>
      </c>
      <c r="AB15" s="517">
        <f t="shared" si="6"/>
        <v>3234.8803033444565</v>
      </c>
      <c r="AC15" s="511">
        <f>HLOOKUP($C$1,'Inflation Adjustments'!$BI$3:$BT$4,2)*AS15</f>
        <v>681450.36093749991</v>
      </c>
      <c r="AD15" s="511">
        <f>IF(AI15="In Service",AC15*'Maintenace Cost Assumptions'!$B$12,0)</f>
        <v>6814.5036093749995</v>
      </c>
      <c r="AE15" s="318">
        <v>2</v>
      </c>
      <c r="AF15" s="318">
        <v>2</v>
      </c>
      <c r="AG15" s="332">
        <f t="shared" si="0"/>
        <v>0.4</v>
      </c>
      <c r="AH15" s="455" t="s">
        <v>1501</v>
      </c>
      <c r="AI15" s="454" t="s">
        <v>1430</v>
      </c>
      <c r="AQ15" s="144"/>
      <c r="AR15" s="144" t="str">
        <f t="shared" si="1"/>
        <v>SWCP-011</v>
      </c>
      <c r="AS15" s="366">
        <f t="shared" si="7"/>
        <v>456500</v>
      </c>
      <c r="AT15" s="366">
        <f>AS15*'Inflation Adjustments'!BM$4</f>
        <v>681450.36093749991</v>
      </c>
      <c r="AU15" s="366">
        <f>(HLOOKUP($T15,'Inflation Adjustments'!$B$3:$BT$4,2,TRUE))*AS15</f>
        <v>80872.007583611427</v>
      </c>
      <c r="AV15" s="379">
        <f t="shared" si="8"/>
        <v>47</v>
      </c>
      <c r="AW15" s="384">
        <f t="shared" si="9"/>
        <v>50</v>
      </c>
      <c r="AX15" s="499">
        <f t="shared" si="10"/>
        <v>1617.4401516722285</v>
      </c>
      <c r="AY15" s="499">
        <f t="shared" si="11"/>
        <v>76019.687128594742</v>
      </c>
      <c r="AZ15" s="500">
        <f t="shared" si="12"/>
        <v>1617.4401516722285</v>
      </c>
      <c r="BA15" s="355">
        <v>0</v>
      </c>
      <c r="BB15" s="481"/>
      <c r="BC15" s="282">
        <v>0</v>
      </c>
      <c r="BD15" s="482">
        <v>0</v>
      </c>
      <c r="BE15" s="482">
        <v>0</v>
      </c>
    </row>
    <row r="16" spans="1:57" ht="35" customHeight="1" x14ac:dyDescent="0.3">
      <c r="A16" s="330" t="s">
        <v>1840</v>
      </c>
      <c r="B16" s="318" t="s">
        <v>1502</v>
      </c>
      <c r="C16" s="318" t="s">
        <v>66</v>
      </c>
      <c r="D16" s="318" t="s">
        <v>152</v>
      </c>
      <c r="E16" s="318" t="str">
        <f>D16</f>
        <v>Seawalls</v>
      </c>
      <c r="F16" s="318" t="s">
        <v>229</v>
      </c>
      <c r="G16" s="318" t="s">
        <v>1174</v>
      </c>
      <c r="H16" s="318">
        <v>4770</v>
      </c>
      <c r="I16" s="318" t="s">
        <v>1503</v>
      </c>
      <c r="J16" s="318" t="s">
        <v>1504</v>
      </c>
      <c r="K16" s="318" t="s">
        <v>1505</v>
      </c>
      <c r="L16" s="318" t="s">
        <v>1506</v>
      </c>
      <c r="M16" s="318" t="s">
        <v>194</v>
      </c>
      <c r="N16" s="502">
        <v>386</v>
      </c>
      <c r="O16" s="318">
        <v>2</v>
      </c>
      <c r="P16" s="318" t="s">
        <v>1456</v>
      </c>
      <c r="Q16" s="318">
        <v>50</v>
      </c>
      <c r="R16" s="318">
        <v>1975</v>
      </c>
      <c r="S16" s="318" t="s">
        <v>800</v>
      </c>
      <c r="T16" s="318">
        <f t="shared" ref="T16" si="19">R16</f>
        <v>1975</v>
      </c>
      <c r="U16" s="318" t="str">
        <f>S16</f>
        <v>Estimated</v>
      </c>
      <c r="V16" s="318"/>
      <c r="W16" s="458">
        <f t="shared" si="2"/>
        <v>376103.55334065075</v>
      </c>
      <c r="X16" s="318" t="s">
        <v>800</v>
      </c>
      <c r="Y16" s="512">
        <f t="shared" si="3"/>
        <v>353537.34014021169</v>
      </c>
      <c r="Z16" s="517">
        <f t="shared" si="4"/>
        <v>22566.213200439059</v>
      </c>
      <c r="AA16" s="512">
        <f t="shared" si="5"/>
        <v>7522.071066813015</v>
      </c>
      <c r="AB16" s="517">
        <f t="shared" si="6"/>
        <v>15044.142133626043</v>
      </c>
      <c r="AC16" s="511">
        <f>HLOOKUP($C$1,'Inflation Adjustments'!$BI$3:$BT$4,2)*AS16</f>
        <v>3169154.6906249998</v>
      </c>
      <c r="AD16" s="511">
        <f>IF(AI16="In Service",AC16*'Maintenace Cost Assumptions'!$B$12,0)</f>
        <v>31691.546906249998</v>
      </c>
      <c r="AE16" s="318">
        <v>2</v>
      </c>
      <c r="AF16" s="318">
        <v>2</v>
      </c>
      <c r="AG16" s="332">
        <f t="shared" si="0"/>
        <v>0.4</v>
      </c>
      <c r="AH16" s="455" t="s">
        <v>1501</v>
      </c>
      <c r="AI16" s="454" t="s">
        <v>1430</v>
      </c>
      <c r="AQ16" s="144"/>
      <c r="AR16" s="144" t="str">
        <f t="shared" si="1"/>
        <v>SWCP-012</v>
      </c>
      <c r="AS16" s="366">
        <f t="shared" si="7"/>
        <v>2123000</v>
      </c>
      <c r="AT16" s="366">
        <f>AS16*'Inflation Adjustments'!BM$4</f>
        <v>3169154.6906249998</v>
      </c>
      <c r="AU16" s="366">
        <f>(HLOOKUP($T16,'Inflation Adjustments'!$B$3:$BT$4,2,TRUE))*AS16</f>
        <v>376103.55334065075</v>
      </c>
      <c r="AV16" s="379">
        <f t="shared" si="8"/>
        <v>47</v>
      </c>
      <c r="AW16" s="384">
        <f t="shared" si="9"/>
        <v>50</v>
      </c>
      <c r="AX16" s="499">
        <f t="shared" si="10"/>
        <v>7522.071066813015</v>
      </c>
      <c r="AY16" s="499">
        <f t="shared" si="11"/>
        <v>353537.34014021169</v>
      </c>
      <c r="AZ16" s="500">
        <f t="shared" si="12"/>
        <v>7522.071066813015</v>
      </c>
      <c r="BA16" s="355">
        <v>0</v>
      </c>
      <c r="BB16" s="481"/>
      <c r="BC16" s="282">
        <v>0</v>
      </c>
      <c r="BD16" s="482">
        <v>0</v>
      </c>
      <c r="BE16" s="482">
        <v>0</v>
      </c>
    </row>
    <row r="17" spans="1:57" ht="35" customHeight="1" x14ac:dyDescent="0.3">
      <c r="A17" s="456" t="s">
        <v>1841</v>
      </c>
      <c r="B17" s="451" t="s">
        <v>1507</v>
      </c>
      <c r="C17" s="318" t="s">
        <v>66</v>
      </c>
      <c r="D17" s="318" t="s">
        <v>152</v>
      </c>
      <c r="E17" s="318" t="str">
        <f t="shared" ref="E17" si="20">D17</f>
        <v>Seawalls</v>
      </c>
      <c r="F17" s="318" t="s">
        <v>230</v>
      </c>
      <c r="G17" s="318" t="s">
        <v>1174</v>
      </c>
      <c r="H17" s="318">
        <v>5340</v>
      </c>
      <c r="I17" s="318" t="s">
        <v>1508</v>
      </c>
      <c r="J17" s="318" t="s">
        <v>1509</v>
      </c>
      <c r="K17" s="318" t="s">
        <v>1510</v>
      </c>
      <c r="L17" s="318" t="s">
        <v>1511</v>
      </c>
      <c r="M17" s="318" t="s">
        <v>194</v>
      </c>
      <c r="N17" s="502">
        <v>88</v>
      </c>
      <c r="O17" s="318">
        <v>2.2000000000000002</v>
      </c>
      <c r="P17" s="318" t="s">
        <v>1461</v>
      </c>
      <c r="Q17" s="318">
        <v>40</v>
      </c>
      <c r="R17" s="318">
        <v>2019</v>
      </c>
      <c r="S17" s="318" t="s">
        <v>800</v>
      </c>
      <c r="T17" s="318">
        <f>R17</f>
        <v>2019</v>
      </c>
      <c r="U17" s="318" t="str">
        <f t="shared" ref="U17" si="21">S17</f>
        <v>Estimated</v>
      </c>
      <c r="V17" s="318"/>
      <c r="W17" s="458">
        <f t="shared" si="2"/>
        <v>308000</v>
      </c>
      <c r="X17" s="318"/>
      <c r="Y17" s="512">
        <f t="shared" si="3"/>
        <v>23100</v>
      </c>
      <c r="Z17" s="517">
        <f t="shared" si="4"/>
        <v>284900</v>
      </c>
      <c r="AA17" s="512">
        <f t="shared" si="5"/>
        <v>7700</v>
      </c>
      <c r="AB17" s="517">
        <f t="shared" si="6"/>
        <v>277200</v>
      </c>
      <c r="AC17" s="511">
        <f>HLOOKUP($C$1,'Inflation Adjustments'!$BI$3:$BT$4,2)*AS17</f>
        <v>459773.73749999993</v>
      </c>
      <c r="AD17" s="511">
        <f>IF(AI17="In Service",AC17*'Maintenace Cost Assumptions'!$B$11,0)</f>
        <v>9195.4747499999994</v>
      </c>
      <c r="AE17" s="318">
        <v>4</v>
      </c>
      <c r="AF17" s="318">
        <v>4</v>
      </c>
      <c r="AG17" s="332">
        <f t="shared" si="0"/>
        <v>0.8</v>
      </c>
      <c r="AH17" s="455" t="s">
        <v>1448</v>
      </c>
      <c r="AI17" s="454" t="s">
        <v>1430</v>
      </c>
      <c r="AQ17" s="282"/>
      <c r="AR17" s="144" t="str">
        <f t="shared" si="1"/>
        <v>SWCP-013</v>
      </c>
      <c r="AS17" s="366">
        <f t="shared" si="7"/>
        <v>308000</v>
      </c>
      <c r="AT17" s="366">
        <f>AS17*'Inflation Adjustments'!BM$4</f>
        <v>459773.73749999993</v>
      </c>
      <c r="AU17" s="366">
        <f>(HLOOKUP($T17,'Inflation Adjustments'!$B$3:$BT$4,2,TRUE))*AS17</f>
        <v>308000</v>
      </c>
      <c r="AV17" s="379">
        <f t="shared" si="8"/>
        <v>3</v>
      </c>
      <c r="AW17" s="384">
        <f t="shared" si="9"/>
        <v>40</v>
      </c>
      <c r="AX17" s="499">
        <f t="shared" si="10"/>
        <v>7700</v>
      </c>
      <c r="AY17" s="499">
        <f t="shared" si="11"/>
        <v>23100</v>
      </c>
      <c r="AZ17" s="500">
        <f t="shared" si="12"/>
        <v>7700</v>
      </c>
      <c r="BA17" s="355">
        <v>0</v>
      </c>
      <c r="BB17" s="481"/>
      <c r="BC17" s="282">
        <v>0</v>
      </c>
      <c r="BD17" s="482">
        <v>0</v>
      </c>
      <c r="BE17" s="482"/>
    </row>
    <row r="18" spans="1:57" ht="35" customHeight="1" x14ac:dyDescent="0.3">
      <c r="A18" s="330" t="s">
        <v>1842</v>
      </c>
      <c r="B18" s="451" t="s">
        <v>1512</v>
      </c>
      <c r="C18" s="318" t="s">
        <v>66</v>
      </c>
      <c r="D18" s="318" t="s">
        <v>152</v>
      </c>
      <c r="E18" s="318" t="str">
        <f t="shared" ref="E18" si="22">D18</f>
        <v>Seawalls</v>
      </c>
      <c r="F18" s="318" t="s">
        <v>230</v>
      </c>
      <c r="G18" s="318" t="s">
        <v>757</v>
      </c>
      <c r="H18" s="318">
        <v>7390</v>
      </c>
      <c r="I18" s="318" t="s">
        <v>1514</v>
      </c>
      <c r="J18" s="318" t="s">
        <v>1515</v>
      </c>
      <c r="K18" s="318" t="s">
        <v>1516</v>
      </c>
      <c r="L18" s="318" t="s">
        <v>1517</v>
      </c>
      <c r="M18" s="318" t="s">
        <v>194</v>
      </c>
      <c r="N18" s="502">
        <v>106</v>
      </c>
      <c r="O18" s="318">
        <v>2</v>
      </c>
      <c r="P18" s="318" t="s">
        <v>1456</v>
      </c>
      <c r="Q18" s="318">
        <v>40</v>
      </c>
      <c r="R18" s="318">
        <v>2019</v>
      </c>
      <c r="S18" s="318" t="s">
        <v>800</v>
      </c>
      <c r="T18" s="318">
        <v>2019</v>
      </c>
      <c r="U18" s="318" t="str">
        <f t="shared" ref="U18" si="23">S18</f>
        <v>Estimated</v>
      </c>
      <c r="V18" s="318"/>
      <c r="W18" s="458">
        <f t="shared" si="2"/>
        <v>371000</v>
      </c>
      <c r="X18" s="318"/>
      <c r="Y18" s="512">
        <f t="shared" si="3"/>
        <v>27825</v>
      </c>
      <c r="Z18" s="517">
        <f t="shared" si="4"/>
        <v>343175</v>
      </c>
      <c r="AA18" s="512">
        <f t="shared" si="5"/>
        <v>9275</v>
      </c>
      <c r="AB18" s="517">
        <f t="shared" si="6"/>
        <v>333900</v>
      </c>
      <c r="AC18" s="511">
        <f>HLOOKUP($C$1,'Inflation Adjustments'!$BI$3:$BT$4,2)*AS18</f>
        <v>553818.36562499998</v>
      </c>
      <c r="AD18" s="511">
        <f>IF(AI18="In Service",AC18*'Maintenace Cost Assumptions'!$B$11,0)</f>
        <v>11076.3673125</v>
      </c>
      <c r="AE18" s="318">
        <v>4</v>
      </c>
      <c r="AF18" s="318">
        <v>4</v>
      </c>
      <c r="AG18" s="332">
        <f t="shared" si="0"/>
        <v>0.8</v>
      </c>
      <c r="AH18" s="455" t="s">
        <v>1448</v>
      </c>
      <c r="AI18" s="454" t="s">
        <v>1430</v>
      </c>
      <c r="AK18" s="91" t="s">
        <v>1513</v>
      </c>
      <c r="AQ18" s="282"/>
      <c r="AR18" s="144" t="str">
        <f t="shared" si="1"/>
        <v>SWCP-014</v>
      </c>
      <c r="AS18" s="366">
        <f t="shared" si="7"/>
        <v>371000</v>
      </c>
      <c r="AT18" s="366">
        <f>AS18*'Inflation Adjustments'!BM$4</f>
        <v>553818.36562499998</v>
      </c>
      <c r="AU18" s="366">
        <f>(HLOOKUP($T18,'Inflation Adjustments'!$B$3:$BT$4,2,TRUE))*AS18</f>
        <v>371000</v>
      </c>
      <c r="AV18" s="379">
        <f t="shared" si="8"/>
        <v>3</v>
      </c>
      <c r="AW18" s="384">
        <f t="shared" si="9"/>
        <v>40</v>
      </c>
      <c r="AX18" s="499">
        <f t="shared" si="10"/>
        <v>9275</v>
      </c>
      <c r="AY18" s="499">
        <f t="shared" si="11"/>
        <v>27825</v>
      </c>
      <c r="AZ18" s="500">
        <f t="shared" si="12"/>
        <v>9275</v>
      </c>
      <c r="BA18" s="355">
        <v>0</v>
      </c>
      <c r="BB18" s="481"/>
      <c r="BC18" s="282">
        <v>0</v>
      </c>
      <c r="BD18" s="482">
        <v>0</v>
      </c>
      <c r="BE18" s="482"/>
    </row>
    <row r="19" spans="1:57" ht="35" customHeight="1" x14ac:dyDescent="0.3">
      <c r="A19" s="330" t="s">
        <v>1843</v>
      </c>
      <c r="B19" s="318" t="s">
        <v>1362</v>
      </c>
      <c r="C19" s="318" t="s">
        <v>66</v>
      </c>
      <c r="D19" s="318" t="s">
        <v>152</v>
      </c>
      <c r="E19" s="318" t="s">
        <v>152</v>
      </c>
      <c r="F19" s="318" t="s">
        <v>230</v>
      </c>
      <c r="G19" s="318" t="s">
        <v>730</v>
      </c>
      <c r="H19" s="318">
        <v>8130</v>
      </c>
      <c r="I19" s="318" t="s">
        <v>1518</v>
      </c>
      <c r="J19" s="318" t="s">
        <v>1519</v>
      </c>
      <c r="K19" s="318" t="s">
        <v>1520</v>
      </c>
      <c r="L19" s="318" t="s">
        <v>1521</v>
      </c>
      <c r="M19" s="318" t="s">
        <v>194</v>
      </c>
      <c r="N19" s="502">
        <v>508</v>
      </c>
      <c r="O19" s="318">
        <v>2</v>
      </c>
      <c r="P19" s="318" t="s">
        <v>1485</v>
      </c>
      <c r="Q19" s="318">
        <v>40</v>
      </c>
      <c r="R19" s="318">
        <v>2019</v>
      </c>
      <c r="S19" s="318" t="s">
        <v>800</v>
      </c>
      <c r="T19" s="318">
        <v>2019</v>
      </c>
      <c r="U19" s="318" t="s">
        <v>800</v>
      </c>
      <c r="V19" s="318"/>
      <c r="W19" s="458">
        <f t="shared" si="2"/>
        <v>1778000</v>
      </c>
      <c r="X19" s="318" t="s">
        <v>800</v>
      </c>
      <c r="Y19" s="512">
        <f t="shared" si="3"/>
        <v>133350</v>
      </c>
      <c r="Z19" s="517">
        <f t="shared" si="4"/>
        <v>1644650</v>
      </c>
      <c r="AA19" s="512">
        <f t="shared" si="5"/>
        <v>44450</v>
      </c>
      <c r="AB19" s="517">
        <f t="shared" si="6"/>
        <v>1600200</v>
      </c>
      <c r="AC19" s="511">
        <f>HLOOKUP($C$1,'Inflation Adjustments'!$BI$3:$BT$4,2)*AS19</f>
        <v>2654148.3937499998</v>
      </c>
      <c r="AD19" s="511">
        <f>IF(AI19="In Service",AC19*'Maintenace Cost Assumptions'!$B$11,0)</f>
        <v>53082.967874999995</v>
      </c>
      <c r="AE19" s="318">
        <v>3</v>
      </c>
      <c r="AF19" s="318">
        <v>3</v>
      </c>
      <c r="AG19" s="332">
        <f t="shared" si="0"/>
        <v>0.6</v>
      </c>
      <c r="AH19" s="455" t="s">
        <v>1464</v>
      </c>
      <c r="AI19" s="454" t="s">
        <v>1430</v>
      </c>
      <c r="AQ19" s="144"/>
      <c r="AR19" s="144" t="str">
        <f t="shared" si="1"/>
        <v>SWCP-015</v>
      </c>
      <c r="AS19" s="366">
        <f t="shared" si="7"/>
        <v>1778000</v>
      </c>
      <c r="AT19" s="366">
        <f>AS19*'Inflation Adjustments'!BM$4</f>
        <v>2654148.3937499998</v>
      </c>
      <c r="AU19" s="366">
        <f>(HLOOKUP($T19,'Inflation Adjustments'!$B$3:$BT$4,2,TRUE))*AS19</f>
        <v>1778000</v>
      </c>
      <c r="AV19" s="379">
        <f t="shared" si="8"/>
        <v>3</v>
      </c>
      <c r="AW19" s="384">
        <f t="shared" si="9"/>
        <v>40</v>
      </c>
      <c r="AX19" s="499">
        <f t="shared" si="10"/>
        <v>44450</v>
      </c>
      <c r="AY19" s="499">
        <f t="shared" si="11"/>
        <v>133350</v>
      </c>
      <c r="AZ19" s="500">
        <f t="shared" si="12"/>
        <v>44450</v>
      </c>
      <c r="BA19" s="355">
        <v>0</v>
      </c>
      <c r="BB19" s="481"/>
      <c r="BC19" s="282">
        <v>0</v>
      </c>
      <c r="BD19" s="482">
        <v>0</v>
      </c>
      <c r="BE19" s="482">
        <v>0</v>
      </c>
    </row>
    <row r="20" spans="1:57" ht="35" customHeight="1" x14ac:dyDescent="0.3">
      <c r="A20" s="456" t="s">
        <v>1844</v>
      </c>
      <c r="B20" s="318" t="s">
        <v>1169</v>
      </c>
      <c r="C20" s="318" t="s">
        <v>66</v>
      </c>
      <c r="D20" s="318" t="s">
        <v>152</v>
      </c>
      <c r="E20" s="318" t="s">
        <v>152</v>
      </c>
      <c r="F20" s="318" t="s">
        <v>230</v>
      </c>
      <c r="G20" s="318" t="s">
        <v>719</v>
      </c>
      <c r="H20" s="318">
        <v>8640</v>
      </c>
      <c r="I20" s="318" t="s">
        <v>1522</v>
      </c>
      <c r="J20" s="318" t="s">
        <v>1523</v>
      </c>
      <c r="K20" s="318" t="s">
        <v>1524</v>
      </c>
      <c r="L20" s="318" t="s">
        <v>1525</v>
      </c>
      <c r="M20" s="318" t="s">
        <v>194</v>
      </c>
      <c r="N20" s="502">
        <v>807</v>
      </c>
      <c r="O20" s="318">
        <v>2</v>
      </c>
      <c r="P20" s="318" t="s">
        <v>1485</v>
      </c>
      <c r="Q20" s="318">
        <v>40</v>
      </c>
      <c r="R20" s="318">
        <v>2019</v>
      </c>
      <c r="S20" s="318" t="s">
        <v>800</v>
      </c>
      <c r="T20" s="318">
        <v>2019</v>
      </c>
      <c r="U20" s="318" t="s">
        <v>800</v>
      </c>
      <c r="V20" s="318"/>
      <c r="W20" s="458">
        <f t="shared" si="2"/>
        <v>2824500</v>
      </c>
      <c r="X20" s="318" t="s">
        <v>800</v>
      </c>
      <c r="Y20" s="512">
        <f t="shared" si="3"/>
        <v>211837.5</v>
      </c>
      <c r="Z20" s="517">
        <f t="shared" si="4"/>
        <v>2612662.5</v>
      </c>
      <c r="AA20" s="512">
        <f t="shared" si="5"/>
        <v>70612.5</v>
      </c>
      <c r="AB20" s="517">
        <f t="shared" si="6"/>
        <v>2542050</v>
      </c>
      <c r="AC20" s="511">
        <f>HLOOKUP($C$1,'Inflation Adjustments'!$BI$3:$BT$4,2)*AS20</f>
        <v>4216334.1609374993</v>
      </c>
      <c r="AD20" s="511">
        <f>IF(AI20="In Service",AC20*'Maintenace Cost Assumptions'!$B$11,0)</f>
        <v>84326.683218749982</v>
      </c>
      <c r="AE20" s="318">
        <v>3</v>
      </c>
      <c r="AF20" s="318">
        <v>3</v>
      </c>
      <c r="AG20" s="332">
        <f t="shared" si="0"/>
        <v>0.6</v>
      </c>
      <c r="AH20" s="455" t="s">
        <v>1464</v>
      </c>
      <c r="AI20" s="454" t="s">
        <v>1430</v>
      </c>
      <c r="AQ20" s="144"/>
      <c r="AR20" s="144" t="str">
        <f t="shared" si="1"/>
        <v>SWCP-016</v>
      </c>
      <c r="AS20" s="366">
        <f t="shared" si="7"/>
        <v>2824500</v>
      </c>
      <c r="AT20" s="366">
        <f>AS20*'Inflation Adjustments'!BM$4</f>
        <v>4216334.1609374993</v>
      </c>
      <c r="AU20" s="366">
        <f>(HLOOKUP($T20,'Inflation Adjustments'!$B$3:$BT$4,2,TRUE))*AS20</f>
        <v>2824500</v>
      </c>
      <c r="AV20" s="379">
        <f t="shared" si="8"/>
        <v>3</v>
      </c>
      <c r="AW20" s="384">
        <f t="shared" si="9"/>
        <v>40</v>
      </c>
      <c r="AX20" s="499">
        <f t="shared" si="10"/>
        <v>70612.5</v>
      </c>
      <c r="AY20" s="499">
        <f t="shared" si="11"/>
        <v>211837.5</v>
      </c>
      <c r="AZ20" s="500">
        <f t="shared" si="12"/>
        <v>70612.5</v>
      </c>
      <c r="BA20" s="355">
        <v>0</v>
      </c>
      <c r="BB20" s="481"/>
      <c r="BC20" s="282">
        <v>0</v>
      </c>
      <c r="BD20" s="482">
        <v>0</v>
      </c>
      <c r="BE20" s="482">
        <v>0</v>
      </c>
    </row>
    <row r="21" spans="1:57" ht="35" customHeight="1" x14ac:dyDescent="0.3">
      <c r="A21" s="330" t="s">
        <v>1845</v>
      </c>
      <c r="B21" s="318" t="s">
        <v>1529</v>
      </c>
      <c r="C21" s="318" t="s">
        <v>66</v>
      </c>
      <c r="D21" s="318" t="s">
        <v>152</v>
      </c>
      <c r="E21" s="318" t="s">
        <v>152</v>
      </c>
      <c r="F21" s="318" t="s">
        <v>230</v>
      </c>
      <c r="G21" s="318" t="s">
        <v>719</v>
      </c>
      <c r="H21" s="318">
        <v>9540</v>
      </c>
      <c r="I21" s="318" t="s">
        <v>1526</v>
      </c>
      <c r="J21" s="318" t="s">
        <v>1527</v>
      </c>
      <c r="K21" s="318" t="s">
        <v>1528</v>
      </c>
      <c r="L21" s="318" t="s">
        <v>1527</v>
      </c>
      <c r="M21" s="318" t="s">
        <v>194</v>
      </c>
      <c r="N21" s="502">
        <v>57</v>
      </c>
      <c r="O21" s="318">
        <v>4</v>
      </c>
      <c r="P21" s="318" t="s">
        <v>1456</v>
      </c>
      <c r="Q21" s="318">
        <v>40</v>
      </c>
      <c r="R21" s="318">
        <v>2019</v>
      </c>
      <c r="S21" s="318" t="s">
        <v>800</v>
      </c>
      <c r="T21" s="318">
        <v>2019</v>
      </c>
      <c r="U21" s="318" t="s">
        <v>800</v>
      </c>
      <c r="V21" s="318"/>
      <c r="W21" s="458">
        <f t="shared" si="2"/>
        <v>199500</v>
      </c>
      <c r="X21" s="318"/>
      <c r="Y21" s="512">
        <f t="shared" si="3"/>
        <v>14962.5</v>
      </c>
      <c r="Z21" s="517">
        <f t="shared" si="4"/>
        <v>184537.5</v>
      </c>
      <c r="AA21" s="512">
        <f t="shared" si="5"/>
        <v>4987.5</v>
      </c>
      <c r="AB21" s="517">
        <f t="shared" si="6"/>
        <v>179550</v>
      </c>
      <c r="AC21" s="511">
        <f>HLOOKUP($C$1,'Inflation Adjustments'!$BI$3:$BT$4,2)*AS21</f>
        <v>297807.98906249995</v>
      </c>
      <c r="AD21" s="511">
        <f>IF(AI21="In Service",AC21*'Maintenace Cost Assumptions'!$B$11,0)</f>
        <v>5956.1597812499995</v>
      </c>
      <c r="AE21" s="318">
        <v>4</v>
      </c>
      <c r="AF21" s="318">
        <v>4</v>
      </c>
      <c r="AG21" s="332">
        <f t="shared" si="0"/>
        <v>0.8</v>
      </c>
      <c r="AH21" s="455" t="s">
        <v>1448</v>
      </c>
      <c r="AI21" s="454" t="s">
        <v>1430</v>
      </c>
      <c r="AQ21" s="144"/>
      <c r="AR21" s="144" t="str">
        <f t="shared" si="1"/>
        <v>SWCP-017</v>
      </c>
      <c r="AS21" s="366">
        <f t="shared" si="7"/>
        <v>199500</v>
      </c>
      <c r="AT21" s="366">
        <f>AS21*'Inflation Adjustments'!BM$4</f>
        <v>297807.98906249995</v>
      </c>
      <c r="AU21" s="366">
        <f>(HLOOKUP($T21,'Inflation Adjustments'!$B$3:$BT$4,2,TRUE))*AS21</f>
        <v>199500</v>
      </c>
      <c r="AV21" s="379">
        <f t="shared" si="8"/>
        <v>3</v>
      </c>
      <c r="AW21" s="384">
        <f t="shared" si="9"/>
        <v>40</v>
      </c>
      <c r="AX21" s="499">
        <f t="shared" si="10"/>
        <v>4987.5</v>
      </c>
      <c r="AY21" s="499">
        <f t="shared" si="11"/>
        <v>14962.5</v>
      </c>
      <c r="AZ21" s="500">
        <f t="shared" si="12"/>
        <v>4987.5</v>
      </c>
      <c r="BA21" s="355">
        <v>0</v>
      </c>
      <c r="BB21" s="481"/>
      <c r="BC21" s="282">
        <v>0</v>
      </c>
      <c r="BD21" s="482">
        <v>0</v>
      </c>
      <c r="BE21" s="482"/>
    </row>
    <row r="22" spans="1:57" ht="35" customHeight="1" x14ac:dyDescent="0.3">
      <c r="A22" s="330" t="s">
        <v>1846</v>
      </c>
      <c r="B22" s="318" t="s">
        <v>1530</v>
      </c>
      <c r="C22" s="318" t="s">
        <v>66</v>
      </c>
      <c r="D22" s="318" t="s">
        <v>152</v>
      </c>
      <c r="E22" s="318" t="s">
        <v>152</v>
      </c>
      <c r="F22" s="318" t="s">
        <v>230</v>
      </c>
      <c r="G22" s="318" t="s">
        <v>720</v>
      </c>
      <c r="H22" s="318">
        <v>10300</v>
      </c>
      <c r="I22" s="318" t="s">
        <v>1531</v>
      </c>
      <c r="J22" s="318" t="s">
        <v>1532</v>
      </c>
      <c r="K22" s="318" t="s">
        <v>1533</v>
      </c>
      <c r="L22" s="318" t="s">
        <v>1534</v>
      </c>
      <c r="M22" s="318" t="s">
        <v>194</v>
      </c>
      <c r="N22" s="502">
        <v>42</v>
      </c>
      <c r="O22" s="318">
        <v>2</v>
      </c>
      <c r="P22" s="318" t="s">
        <v>1535</v>
      </c>
      <c r="Q22" s="318">
        <v>40</v>
      </c>
      <c r="R22" s="318">
        <v>2019</v>
      </c>
      <c r="S22" s="318" t="s">
        <v>800</v>
      </c>
      <c r="T22" s="318">
        <v>2019</v>
      </c>
      <c r="U22" s="318" t="s">
        <v>800</v>
      </c>
      <c r="V22" s="318"/>
      <c r="W22" s="458">
        <f t="shared" si="2"/>
        <v>147000</v>
      </c>
      <c r="X22" s="318"/>
      <c r="Y22" s="512">
        <f t="shared" si="3"/>
        <v>11025</v>
      </c>
      <c r="Z22" s="517">
        <f t="shared" si="4"/>
        <v>135975</v>
      </c>
      <c r="AA22" s="512">
        <f t="shared" si="5"/>
        <v>3675</v>
      </c>
      <c r="AB22" s="517">
        <f t="shared" si="6"/>
        <v>132300</v>
      </c>
      <c r="AC22" s="511">
        <f>HLOOKUP($C$1,'Inflation Adjustments'!$BI$3:$BT$4,2)*AS22</f>
        <v>219437.46562499998</v>
      </c>
      <c r="AD22" s="511">
        <f>IF(AI22="In Service",AC22*'Maintenace Cost Assumptions'!$B$11,0)</f>
        <v>4388.7493125000001</v>
      </c>
      <c r="AE22" s="318">
        <v>3</v>
      </c>
      <c r="AF22" s="318">
        <v>3</v>
      </c>
      <c r="AG22" s="332">
        <f t="shared" si="0"/>
        <v>0.6</v>
      </c>
      <c r="AH22" s="455" t="s">
        <v>1464</v>
      </c>
      <c r="AI22" s="454" t="s">
        <v>1430</v>
      </c>
      <c r="AQ22" s="144"/>
      <c r="AR22" s="144" t="str">
        <f t="shared" si="1"/>
        <v>SWCP-018</v>
      </c>
      <c r="AS22" s="366">
        <f t="shared" si="7"/>
        <v>147000</v>
      </c>
      <c r="AT22" s="366">
        <f>AS22*'Inflation Adjustments'!BM$4</f>
        <v>219437.46562499998</v>
      </c>
      <c r="AU22" s="366">
        <f>(HLOOKUP($T22,'Inflation Adjustments'!$B$3:$BT$4,2,TRUE))*AS22</f>
        <v>147000</v>
      </c>
      <c r="AV22" s="379">
        <f t="shared" si="8"/>
        <v>3</v>
      </c>
      <c r="AW22" s="384">
        <f t="shared" si="9"/>
        <v>40</v>
      </c>
      <c r="AX22" s="499">
        <f t="shared" si="10"/>
        <v>3675</v>
      </c>
      <c r="AY22" s="499">
        <f t="shared" si="11"/>
        <v>11025</v>
      </c>
      <c r="AZ22" s="500">
        <f t="shared" si="12"/>
        <v>3675</v>
      </c>
      <c r="BA22" s="355">
        <v>0</v>
      </c>
      <c r="BB22" s="481"/>
      <c r="BC22" s="282">
        <v>0</v>
      </c>
      <c r="BD22" s="482">
        <v>0</v>
      </c>
      <c r="BE22" s="482"/>
    </row>
    <row r="23" spans="1:57" ht="35" customHeight="1" x14ac:dyDescent="0.3">
      <c r="A23" s="456" t="s">
        <v>1847</v>
      </c>
      <c r="B23" s="318" t="s">
        <v>1536</v>
      </c>
      <c r="C23" s="318" t="s">
        <v>66</v>
      </c>
      <c r="D23" s="318" t="s">
        <v>152</v>
      </c>
      <c r="E23" s="318" t="s">
        <v>152</v>
      </c>
      <c r="F23" s="318" t="s">
        <v>230</v>
      </c>
      <c r="G23" s="318" t="s">
        <v>720</v>
      </c>
      <c r="H23" s="318">
        <v>10510</v>
      </c>
      <c r="I23" s="318" t="s">
        <v>1537</v>
      </c>
      <c r="J23" s="318" t="s">
        <v>1538</v>
      </c>
      <c r="K23" s="318" t="s">
        <v>1539</v>
      </c>
      <c r="L23" s="318" t="s">
        <v>1540</v>
      </c>
      <c r="M23" s="318" t="s">
        <v>194</v>
      </c>
      <c r="N23" s="502">
        <v>83</v>
      </c>
      <c r="O23" s="318">
        <v>2</v>
      </c>
      <c r="P23" s="318" t="s">
        <v>1541</v>
      </c>
      <c r="Q23" s="318">
        <v>40</v>
      </c>
      <c r="R23" s="318">
        <v>2019</v>
      </c>
      <c r="S23" s="318" t="s">
        <v>800</v>
      </c>
      <c r="T23" s="318">
        <v>2019</v>
      </c>
      <c r="U23" s="318" t="s">
        <v>800</v>
      </c>
      <c r="V23" s="318"/>
      <c r="W23" s="458">
        <f t="shared" si="2"/>
        <v>290500</v>
      </c>
      <c r="X23" s="318"/>
      <c r="Y23" s="512">
        <f t="shared" si="3"/>
        <v>21787.5</v>
      </c>
      <c r="Z23" s="517">
        <f t="shared" si="4"/>
        <v>268712.5</v>
      </c>
      <c r="AA23" s="512">
        <f t="shared" si="5"/>
        <v>7262.5</v>
      </c>
      <c r="AB23" s="517">
        <f t="shared" si="6"/>
        <v>261450</v>
      </c>
      <c r="AC23" s="511">
        <f>HLOOKUP($C$1,'Inflation Adjustments'!$BI$3:$BT$4,2)*AS23</f>
        <v>433650.22968749993</v>
      </c>
      <c r="AD23" s="511">
        <f>IF(AI23="In Service",AC23*'Maintenace Cost Assumptions'!$B$11,0)</f>
        <v>8673.0045937499981</v>
      </c>
      <c r="AE23" s="318">
        <v>4</v>
      </c>
      <c r="AF23" s="318">
        <v>4</v>
      </c>
      <c r="AG23" s="332">
        <f t="shared" si="0"/>
        <v>0.8</v>
      </c>
      <c r="AH23" s="455" t="s">
        <v>1448</v>
      </c>
      <c r="AI23" s="454" t="s">
        <v>1430</v>
      </c>
      <c r="AQ23" s="144"/>
      <c r="AR23" s="144" t="str">
        <f t="shared" ref="AR23:AR31" si="24">A23</f>
        <v>SWCP-019</v>
      </c>
      <c r="AS23" s="366">
        <f t="shared" ref="AS23:AS31" si="25">VLOOKUP(F23,$AP$5:$AQ$8,2,FALSE)*N23</f>
        <v>290500</v>
      </c>
      <c r="AT23" s="366">
        <f>AS23*'Inflation Adjustments'!BM$4</f>
        <v>433650.22968749993</v>
      </c>
      <c r="AU23" s="366">
        <f>(HLOOKUP($T23,'Inflation Adjustments'!$B$3:$BT$4,2,TRUE))*AS23</f>
        <v>290500</v>
      </c>
      <c r="AV23" s="379">
        <f t="shared" si="8"/>
        <v>3</v>
      </c>
      <c r="AW23" s="384">
        <f t="shared" si="9"/>
        <v>40</v>
      </c>
      <c r="AX23" s="499">
        <f t="shared" si="10"/>
        <v>7262.5</v>
      </c>
      <c r="AY23" s="499">
        <f t="shared" si="11"/>
        <v>21787.5</v>
      </c>
      <c r="AZ23" s="500">
        <f t="shared" si="12"/>
        <v>7262.5</v>
      </c>
      <c r="BA23" s="355"/>
      <c r="BB23" s="481"/>
      <c r="BC23" s="282"/>
      <c r="BD23" s="482"/>
      <c r="BE23" s="482"/>
    </row>
    <row r="24" spans="1:57" ht="35" customHeight="1" x14ac:dyDescent="0.3">
      <c r="A24" s="330" t="s">
        <v>1848</v>
      </c>
      <c r="B24" s="318" t="s">
        <v>1542</v>
      </c>
      <c r="C24" s="318" t="s">
        <v>66</v>
      </c>
      <c r="D24" s="318" t="s">
        <v>152</v>
      </c>
      <c r="E24" s="318" t="s">
        <v>152</v>
      </c>
      <c r="F24" s="318" t="s">
        <v>230</v>
      </c>
      <c r="G24" s="318" t="s">
        <v>722</v>
      </c>
      <c r="H24" s="318">
        <v>12800</v>
      </c>
      <c r="I24" s="318" t="s">
        <v>1543</v>
      </c>
      <c r="J24" s="318" t="s">
        <v>1544</v>
      </c>
      <c r="K24" s="318" t="s">
        <v>1545</v>
      </c>
      <c r="L24" s="318" t="s">
        <v>1546</v>
      </c>
      <c r="M24" s="318" t="s">
        <v>194</v>
      </c>
      <c r="N24" s="502">
        <v>108</v>
      </c>
      <c r="O24" s="318">
        <v>2</v>
      </c>
      <c r="P24" s="318" t="s">
        <v>1456</v>
      </c>
      <c r="Q24" s="318">
        <v>40</v>
      </c>
      <c r="R24" s="318">
        <v>2019</v>
      </c>
      <c r="S24" s="318" t="s">
        <v>800</v>
      </c>
      <c r="T24" s="318">
        <v>2019</v>
      </c>
      <c r="U24" s="318" t="s">
        <v>800</v>
      </c>
      <c r="V24" s="318"/>
      <c r="W24" s="458">
        <f t="shared" si="2"/>
        <v>378000</v>
      </c>
      <c r="X24" s="318"/>
      <c r="Y24" s="512">
        <f t="shared" si="3"/>
        <v>28350</v>
      </c>
      <c r="Z24" s="517">
        <f t="shared" si="4"/>
        <v>349650</v>
      </c>
      <c r="AA24" s="512">
        <f t="shared" si="5"/>
        <v>9450</v>
      </c>
      <c r="AB24" s="517">
        <f t="shared" si="6"/>
        <v>340200</v>
      </c>
      <c r="AC24" s="511">
        <f>HLOOKUP($C$1,'Inflation Adjustments'!$BI$3:$BT$4,2)*AS24</f>
        <v>564267.76874999993</v>
      </c>
      <c r="AD24" s="511">
        <f>IF(AI24="In Service",AC24*'Maintenace Cost Assumptions'!$B$11,0)</f>
        <v>11285.355374999999</v>
      </c>
      <c r="AE24" s="318">
        <v>3</v>
      </c>
      <c r="AF24" s="318">
        <v>3</v>
      </c>
      <c r="AG24" s="332">
        <f t="shared" si="0"/>
        <v>0.6</v>
      </c>
      <c r="AH24" s="455" t="s">
        <v>1464</v>
      </c>
      <c r="AI24" s="454" t="s">
        <v>1430</v>
      </c>
      <c r="AQ24" s="144"/>
      <c r="AR24" s="144" t="str">
        <f t="shared" si="24"/>
        <v>SWCP-020</v>
      </c>
      <c r="AS24" s="366">
        <f t="shared" si="25"/>
        <v>378000</v>
      </c>
      <c r="AT24" s="366">
        <f>AS24*'Inflation Adjustments'!BM$4</f>
        <v>564267.76874999993</v>
      </c>
      <c r="AU24" s="366">
        <f>(HLOOKUP($T24,'Inflation Adjustments'!$B$3:$BT$4,2,TRUE))*AS24</f>
        <v>378000</v>
      </c>
      <c r="AV24" s="379">
        <f t="shared" si="8"/>
        <v>3</v>
      </c>
      <c r="AW24" s="384">
        <f t="shared" si="9"/>
        <v>40</v>
      </c>
      <c r="AX24" s="499">
        <f t="shared" si="10"/>
        <v>9450</v>
      </c>
      <c r="AY24" s="499">
        <f t="shared" si="11"/>
        <v>28350</v>
      </c>
      <c r="AZ24" s="500">
        <f t="shared" si="12"/>
        <v>9450</v>
      </c>
      <c r="BA24" s="355"/>
      <c r="BB24" s="481"/>
      <c r="BC24" s="282"/>
      <c r="BD24" s="482"/>
      <c r="BE24" s="482"/>
    </row>
    <row r="25" spans="1:57" ht="35" customHeight="1" x14ac:dyDescent="0.3">
      <c r="A25" s="330" t="s">
        <v>1849</v>
      </c>
      <c r="B25" s="318" t="s">
        <v>1547</v>
      </c>
      <c r="C25" s="318" t="s">
        <v>66</v>
      </c>
      <c r="D25" s="318" t="s">
        <v>152</v>
      </c>
      <c r="E25" s="318" t="s">
        <v>152</v>
      </c>
      <c r="F25" s="318" t="s">
        <v>230</v>
      </c>
      <c r="G25" s="318" t="s">
        <v>722</v>
      </c>
      <c r="H25" s="318">
        <v>14030</v>
      </c>
      <c r="I25" s="318" t="s">
        <v>1548</v>
      </c>
      <c r="J25" s="318" t="s">
        <v>1549</v>
      </c>
      <c r="K25" s="318" t="s">
        <v>1550</v>
      </c>
      <c r="L25" s="318" t="s">
        <v>1551</v>
      </c>
      <c r="M25" s="318" t="s">
        <v>194</v>
      </c>
      <c r="N25" s="502">
        <v>171</v>
      </c>
      <c r="O25" s="318">
        <v>6</v>
      </c>
      <c r="P25" s="318" t="s">
        <v>1541</v>
      </c>
      <c r="Q25" s="318">
        <v>40</v>
      </c>
      <c r="R25" s="318">
        <v>2019</v>
      </c>
      <c r="S25" s="318" t="s">
        <v>800</v>
      </c>
      <c r="T25" s="318">
        <v>2019</v>
      </c>
      <c r="U25" s="318" t="s">
        <v>800</v>
      </c>
      <c r="V25" s="318"/>
      <c r="W25" s="458">
        <f t="shared" si="2"/>
        <v>598500</v>
      </c>
      <c r="X25" s="318"/>
      <c r="Y25" s="512">
        <f t="shared" si="3"/>
        <v>44887.5</v>
      </c>
      <c r="Z25" s="517">
        <f t="shared" si="4"/>
        <v>553612.5</v>
      </c>
      <c r="AA25" s="512">
        <f t="shared" si="5"/>
        <v>14962.5</v>
      </c>
      <c r="AB25" s="517">
        <f t="shared" si="6"/>
        <v>538650</v>
      </c>
      <c r="AC25" s="511">
        <f>HLOOKUP($C$1,'Inflation Adjustments'!$BI$3:$BT$4,2)*AS25</f>
        <v>893423.96718749986</v>
      </c>
      <c r="AD25" s="511">
        <f>IF(AI25="In Service",AC25*'Maintenace Cost Assumptions'!$B$11,0)</f>
        <v>17868.479343749997</v>
      </c>
      <c r="AE25" s="318">
        <v>4</v>
      </c>
      <c r="AF25" s="318">
        <v>4</v>
      </c>
      <c r="AG25" s="332">
        <f t="shared" si="0"/>
        <v>0.8</v>
      </c>
      <c r="AH25" s="455" t="s">
        <v>1448</v>
      </c>
      <c r="AI25" s="454" t="s">
        <v>1430</v>
      </c>
      <c r="AQ25" s="144"/>
      <c r="AR25" s="144" t="str">
        <f t="shared" si="24"/>
        <v>SWCP-021</v>
      </c>
      <c r="AS25" s="366">
        <f t="shared" si="25"/>
        <v>598500</v>
      </c>
      <c r="AT25" s="366">
        <f>AS25*'Inflation Adjustments'!BM$4</f>
        <v>893423.96718749986</v>
      </c>
      <c r="AU25" s="366">
        <f>(HLOOKUP($T25,'Inflation Adjustments'!$B$3:$BT$4,2,TRUE))*AS25</f>
        <v>598500</v>
      </c>
      <c r="AV25" s="379">
        <f t="shared" si="8"/>
        <v>3</v>
      </c>
      <c r="AW25" s="384">
        <f t="shared" si="9"/>
        <v>40</v>
      </c>
      <c r="AX25" s="499">
        <f t="shared" si="10"/>
        <v>14962.5</v>
      </c>
      <c r="AY25" s="499">
        <f t="shared" si="11"/>
        <v>44887.5</v>
      </c>
      <c r="AZ25" s="500">
        <f t="shared" si="12"/>
        <v>14962.5</v>
      </c>
      <c r="BA25" s="355"/>
      <c r="BB25" s="481"/>
      <c r="BC25" s="282"/>
      <c r="BD25" s="482"/>
      <c r="BE25" s="482"/>
    </row>
    <row r="26" spans="1:57" ht="35" customHeight="1" x14ac:dyDescent="0.3">
      <c r="A26" s="456" t="s">
        <v>1850</v>
      </c>
      <c r="B26" s="318" t="s">
        <v>1552</v>
      </c>
      <c r="C26" s="318" t="s">
        <v>66</v>
      </c>
      <c r="D26" s="318" t="s">
        <v>152</v>
      </c>
      <c r="E26" s="318" t="s">
        <v>152</v>
      </c>
      <c r="F26" s="318" t="s">
        <v>230</v>
      </c>
      <c r="G26" s="318" t="s">
        <v>722</v>
      </c>
      <c r="H26" s="318">
        <v>14270</v>
      </c>
      <c r="I26" s="318" t="s">
        <v>1553</v>
      </c>
      <c r="J26" s="318" t="s">
        <v>1551</v>
      </c>
      <c r="K26" s="318" t="s">
        <v>1554</v>
      </c>
      <c r="L26" s="318" t="s">
        <v>1555</v>
      </c>
      <c r="M26" s="318" t="s">
        <v>194</v>
      </c>
      <c r="N26" s="502">
        <v>163</v>
      </c>
      <c r="O26" s="318">
        <v>6</v>
      </c>
      <c r="P26" s="318" t="s">
        <v>1541</v>
      </c>
      <c r="Q26" s="318">
        <v>40</v>
      </c>
      <c r="R26" s="318">
        <v>2019</v>
      </c>
      <c r="S26" s="318" t="s">
        <v>800</v>
      </c>
      <c r="T26" s="318">
        <v>2019</v>
      </c>
      <c r="U26" s="318" t="s">
        <v>800</v>
      </c>
      <c r="V26" s="318"/>
      <c r="W26" s="458">
        <f t="shared" si="2"/>
        <v>570500</v>
      </c>
      <c r="X26" s="318"/>
      <c r="Y26" s="512">
        <f t="shared" si="3"/>
        <v>42787.5</v>
      </c>
      <c r="Z26" s="517">
        <f t="shared" si="4"/>
        <v>527712.5</v>
      </c>
      <c r="AA26" s="512">
        <f t="shared" si="5"/>
        <v>14262.5</v>
      </c>
      <c r="AB26" s="517">
        <f t="shared" si="6"/>
        <v>513450</v>
      </c>
      <c r="AC26" s="511">
        <f>HLOOKUP($C$1,'Inflation Adjustments'!$BI$3:$BT$4,2)*AS26</f>
        <v>851626.35468749993</v>
      </c>
      <c r="AD26" s="511">
        <f>IF(AI26="In Service",AC26*'Maintenace Cost Assumptions'!$B$11,0)</f>
        <v>17032.527093749999</v>
      </c>
      <c r="AE26" s="318">
        <v>5</v>
      </c>
      <c r="AF26" s="318">
        <v>5</v>
      </c>
      <c r="AG26" s="332">
        <f t="shared" si="0"/>
        <v>1</v>
      </c>
      <c r="AH26" s="455" t="s">
        <v>1556</v>
      </c>
      <c r="AI26" s="454" t="s">
        <v>1430</v>
      </c>
      <c r="AQ26" s="144"/>
      <c r="AR26" s="144" t="str">
        <f t="shared" si="24"/>
        <v>SWCP-022</v>
      </c>
      <c r="AS26" s="366">
        <f t="shared" si="25"/>
        <v>570500</v>
      </c>
      <c r="AT26" s="366">
        <f>AS26*'Inflation Adjustments'!BM$4</f>
        <v>851626.35468749993</v>
      </c>
      <c r="AU26" s="366">
        <f>(HLOOKUP($T26,'Inflation Adjustments'!$B$3:$BT$4,2,TRUE))*AS26</f>
        <v>570500</v>
      </c>
      <c r="AV26" s="379">
        <f t="shared" si="8"/>
        <v>3</v>
      </c>
      <c r="AW26" s="384">
        <f t="shared" si="9"/>
        <v>40</v>
      </c>
      <c r="AX26" s="499">
        <f t="shared" si="10"/>
        <v>14262.5</v>
      </c>
      <c r="AY26" s="499">
        <f t="shared" si="11"/>
        <v>42787.5</v>
      </c>
      <c r="AZ26" s="500">
        <f t="shared" si="12"/>
        <v>14262.5</v>
      </c>
      <c r="BA26" s="355"/>
      <c r="BB26" s="481"/>
      <c r="BC26" s="282"/>
      <c r="BD26" s="482"/>
      <c r="BE26" s="482"/>
    </row>
    <row r="27" spans="1:57" ht="35" customHeight="1" x14ac:dyDescent="0.3">
      <c r="A27" s="330" t="s">
        <v>1851</v>
      </c>
      <c r="B27" s="318" t="s">
        <v>1168</v>
      </c>
      <c r="C27" s="318" t="s">
        <v>66</v>
      </c>
      <c r="D27" s="318" t="s">
        <v>152</v>
      </c>
      <c r="E27" s="318" t="str">
        <f t="shared" ref="E27:E28" si="26">D27</f>
        <v>Seawalls</v>
      </c>
      <c r="F27" s="318" t="s">
        <v>230</v>
      </c>
      <c r="G27" s="318" t="s">
        <v>723</v>
      </c>
      <c r="H27" s="318">
        <v>14810</v>
      </c>
      <c r="I27" s="318" t="s">
        <v>1557</v>
      </c>
      <c r="J27" s="318" t="s">
        <v>1549</v>
      </c>
      <c r="K27" s="318" t="s">
        <v>1558</v>
      </c>
      <c r="L27" s="318" t="s">
        <v>1559</v>
      </c>
      <c r="M27" s="318" t="s">
        <v>194</v>
      </c>
      <c r="N27" s="502">
        <v>414</v>
      </c>
      <c r="O27" s="318">
        <v>2</v>
      </c>
      <c r="P27" s="318" t="s">
        <v>1541</v>
      </c>
      <c r="Q27" s="318">
        <f>'GRC and TUL Assumptions'!E$95</f>
        <v>40</v>
      </c>
      <c r="R27" s="318">
        <v>1992</v>
      </c>
      <c r="S27" s="318" t="s">
        <v>800</v>
      </c>
      <c r="T27" s="318">
        <f t="shared" ref="T27:T28" si="27">R27</f>
        <v>1992</v>
      </c>
      <c r="U27" s="318" t="str">
        <f t="shared" ref="U27:U28" si="28">S27</f>
        <v>Estimated</v>
      </c>
      <c r="V27" s="318"/>
      <c r="W27" s="458">
        <f t="shared" si="2"/>
        <v>500026.01022351766</v>
      </c>
      <c r="X27" s="318" t="s">
        <v>800</v>
      </c>
      <c r="Y27" s="512">
        <f t="shared" si="3"/>
        <v>375019.50766763825</v>
      </c>
      <c r="Z27" s="517">
        <f t="shared" si="4"/>
        <v>125006.50255587942</v>
      </c>
      <c r="AA27" s="512">
        <f t="shared" si="5"/>
        <v>12500.650255587942</v>
      </c>
      <c r="AB27" s="517">
        <f t="shared" si="6"/>
        <v>112505.85230029147</v>
      </c>
      <c r="AC27" s="511">
        <f>HLOOKUP($C$1,'Inflation Adjustments'!$BI$3:$BT$4,2)*AS27</f>
        <v>2163026.4468749999</v>
      </c>
      <c r="AD27" s="511">
        <f>IF(AI27="In Service",AC27*'Maintenace Cost Assumptions'!$B$11,0)</f>
        <v>43260.528937499999</v>
      </c>
      <c r="AE27" s="318">
        <v>2</v>
      </c>
      <c r="AF27" s="318">
        <v>2</v>
      </c>
      <c r="AG27" s="332">
        <f t="shared" si="0"/>
        <v>0.4</v>
      </c>
      <c r="AH27" s="455" t="s">
        <v>1490</v>
      </c>
      <c r="AI27" s="454" t="s">
        <v>1430</v>
      </c>
      <c r="AQ27" s="144"/>
      <c r="AR27" s="144" t="str">
        <f t="shared" si="24"/>
        <v>SWCP-023</v>
      </c>
      <c r="AS27" s="366">
        <f t="shared" si="25"/>
        <v>1449000</v>
      </c>
      <c r="AT27" s="366">
        <f>AS27*'Inflation Adjustments'!BM$4</f>
        <v>2163026.4468749999</v>
      </c>
      <c r="AU27" s="366">
        <f>(HLOOKUP($T27,'Inflation Adjustments'!$B$3:$BT$4,2,TRUE))*AS27</f>
        <v>500026.01022351766</v>
      </c>
      <c r="AV27" s="379">
        <f t="shared" si="8"/>
        <v>30</v>
      </c>
      <c r="AW27" s="384">
        <f t="shared" si="9"/>
        <v>40</v>
      </c>
      <c r="AX27" s="499">
        <f t="shared" si="10"/>
        <v>12500.650255587942</v>
      </c>
      <c r="AY27" s="499">
        <f t="shared" si="11"/>
        <v>375019.50766763825</v>
      </c>
      <c r="AZ27" s="500">
        <f t="shared" si="12"/>
        <v>12500.650255587942</v>
      </c>
      <c r="BA27" s="355"/>
      <c r="BB27" s="481"/>
      <c r="BC27" s="282"/>
      <c r="BD27" s="482"/>
      <c r="BE27" s="482">
        <v>0</v>
      </c>
    </row>
    <row r="28" spans="1:57" ht="35" customHeight="1" x14ac:dyDescent="0.3">
      <c r="A28" s="330" t="s">
        <v>1852</v>
      </c>
      <c r="B28" s="318" t="s">
        <v>1361</v>
      </c>
      <c r="C28" s="318" t="s">
        <v>66</v>
      </c>
      <c r="D28" s="318" t="s">
        <v>152</v>
      </c>
      <c r="E28" s="318" t="str">
        <f t="shared" si="26"/>
        <v>Seawalls</v>
      </c>
      <c r="F28" s="318" t="s">
        <v>230</v>
      </c>
      <c r="G28" s="318" t="s">
        <v>723</v>
      </c>
      <c r="H28" s="318">
        <v>15440</v>
      </c>
      <c r="I28" s="318" t="s">
        <v>1560</v>
      </c>
      <c r="J28" s="318" t="s">
        <v>1561</v>
      </c>
      <c r="K28" s="318" t="s">
        <v>1562</v>
      </c>
      <c r="L28" s="318" t="s">
        <v>1563</v>
      </c>
      <c r="M28" s="318" t="s">
        <v>194</v>
      </c>
      <c r="N28" s="502">
        <v>30</v>
      </c>
      <c r="O28" s="318">
        <v>2</v>
      </c>
      <c r="P28" s="318" t="s">
        <v>1541</v>
      </c>
      <c r="Q28" s="318">
        <f>'GRC and TUL Assumptions'!E$95</f>
        <v>40</v>
      </c>
      <c r="R28" s="318">
        <v>2014</v>
      </c>
      <c r="S28" s="318" t="s">
        <v>800</v>
      </c>
      <c r="T28" s="318">
        <f t="shared" si="27"/>
        <v>2014</v>
      </c>
      <c r="U28" s="318" t="str">
        <f t="shared" si="28"/>
        <v>Estimated</v>
      </c>
      <c r="V28" s="318"/>
      <c r="W28" s="458">
        <f t="shared" si="2"/>
        <v>82582.778449559599</v>
      </c>
      <c r="X28" s="318" t="s">
        <v>800</v>
      </c>
      <c r="Y28" s="512">
        <f t="shared" si="3"/>
        <v>16516.555689911918</v>
      </c>
      <c r="Z28" s="517">
        <f t="shared" si="4"/>
        <v>66066.222759647673</v>
      </c>
      <c r="AA28" s="512">
        <f t="shared" si="5"/>
        <v>2064.5694612389898</v>
      </c>
      <c r="AB28" s="517">
        <f t="shared" si="6"/>
        <v>64001.653298408681</v>
      </c>
      <c r="AC28" s="511">
        <f>HLOOKUP($C$1,'Inflation Adjustments'!$BI$3:$BT$4,2)*AS28</f>
        <v>156741.04687499997</v>
      </c>
      <c r="AD28" s="511">
        <f>IF(AI28="In Service",AC28*'Maintenace Cost Assumptions'!$B$11,0)</f>
        <v>3134.8209374999997</v>
      </c>
      <c r="AE28" s="318">
        <v>4</v>
      </c>
      <c r="AF28" s="318">
        <v>4</v>
      </c>
      <c r="AG28" s="332">
        <f t="shared" si="0"/>
        <v>0.8</v>
      </c>
      <c r="AH28" s="455" t="s">
        <v>1448</v>
      </c>
      <c r="AI28" s="454" t="s">
        <v>1430</v>
      </c>
      <c r="AQ28" s="282"/>
      <c r="AR28" s="144" t="str">
        <f t="shared" si="24"/>
        <v>SWCP-024</v>
      </c>
      <c r="AS28" s="366">
        <f t="shared" si="25"/>
        <v>105000</v>
      </c>
      <c r="AT28" s="366">
        <f>AS28*'Inflation Adjustments'!BM$4</f>
        <v>156741.04687499997</v>
      </c>
      <c r="AU28" s="366">
        <f>(HLOOKUP($T28,'Inflation Adjustments'!$B$3:$BT$4,2,TRUE))*AS28</f>
        <v>82582.778449559599</v>
      </c>
      <c r="AV28" s="379">
        <f t="shared" si="8"/>
        <v>8</v>
      </c>
      <c r="AW28" s="384">
        <f t="shared" si="9"/>
        <v>40</v>
      </c>
      <c r="AX28" s="499">
        <f t="shared" si="10"/>
        <v>2064.5694612389898</v>
      </c>
      <c r="AY28" s="499">
        <f t="shared" si="11"/>
        <v>16516.555689911918</v>
      </c>
      <c r="AZ28" s="500">
        <f t="shared" si="12"/>
        <v>2064.5694612389898</v>
      </c>
      <c r="BA28" s="355"/>
      <c r="BB28" s="481"/>
      <c r="BC28" s="282"/>
      <c r="BD28" s="482"/>
      <c r="BE28" s="482">
        <v>0</v>
      </c>
    </row>
    <row r="29" spans="1:57" ht="35" customHeight="1" x14ac:dyDescent="0.3">
      <c r="A29" s="456" t="s">
        <v>1853</v>
      </c>
      <c r="B29" s="318" t="s">
        <v>1361</v>
      </c>
      <c r="C29" s="318" t="s">
        <v>66</v>
      </c>
      <c r="D29" s="318" t="s">
        <v>152</v>
      </c>
      <c r="E29" s="318" t="str">
        <f t="shared" ref="E29:E30" si="29">D29</f>
        <v>Seawalls</v>
      </c>
      <c r="F29" s="318" t="s">
        <v>230</v>
      </c>
      <c r="G29" s="318" t="s">
        <v>723</v>
      </c>
      <c r="H29" s="318">
        <v>15730</v>
      </c>
      <c r="I29" s="318" t="s">
        <v>881</v>
      </c>
      <c r="J29" s="318" t="s">
        <v>1564</v>
      </c>
      <c r="K29" s="318" t="s">
        <v>1565</v>
      </c>
      <c r="L29" s="318" t="s">
        <v>1566</v>
      </c>
      <c r="M29" s="318" t="s">
        <v>194</v>
      </c>
      <c r="N29" s="502">
        <v>196</v>
      </c>
      <c r="O29" s="318">
        <v>2</v>
      </c>
      <c r="P29" s="318" t="s">
        <v>1541</v>
      </c>
      <c r="Q29" s="318">
        <f>'GRC and TUL Assumptions'!E$95</f>
        <v>40</v>
      </c>
      <c r="R29" s="318">
        <v>2019</v>
      </c>
      <c r="S29" s="318" t="s">
        <v>800</v>
      </c>
      <c r="T29" s="318">
        <v>2019</v>
      </c>
      <c r="U29" s="318" t="str">
        <f t="shared" ref="U29:U30" si="30">S29</f>
        <v>Estimated</v>
      </c>
      <c r="V29" s="318"/>
      <c r="W29" s="458">
        <f t="shared" si="2"/>
        <v>686000</v>
      </c>
      <c r="X29" s="318" t="s">
        <v>800</v>
      </c>
      <c r="Y29" s="512">
        <f t="shared" si="3"/>
        <v>51450</v>
      </c>
      <c r="Z29" s="517">
        <f t="shared" si="4"/>
        <v>634550</v>
      </c>
      <c r="AA29" s="512">
        <f t="shared" si="5"/>
        <v>17150</v>
      </c>
      <c r="AB29" s="517">
        <f t="shared" si="6"/>
        <v>617400</v>
      </c>
      <c r="AC29" s="511">
        <f>HLOOKUP($C$1,'Inflation Adjustments'!$BI$3:$BT$4,2)*AS29</f>
        <v>1024041.5062499999</v>
      </c>
      <c r="AD29" s="511">
        <f>IF(AI29="In Service",AC29*'Maintenace Cost Assumptions'!$B$11,0)</f>
        <v>20480.830124999997</v>
      </c>
      <c r="AE29" s="318">
        <v>3</v>
      </c>
      <c r="AF29" s="318">
        <v>3</v>
      </c>
      <c r="AG29" s="332">
        <f t="shared" si="0"/>
        <v>0.6</v>
      </c>
      <c r="AH29" s="455" t="s">
        <v>1464</v>
      </c>
      <c r="AI29" s="454" t="s">
        <v>1430</v>
      </c>
      <c r="AQ29" s="282"/>
      <c r="AR29" s="144" t="str">
        <f t="shared" si="24"/>
        <v>SWCP-025</v>
      </c>
      <c r="AS29" s="366">
        <f t="shared" si="25"/>
        <v>686000</v>
      </c>
      <c r="AT29" s="366">
        <f>AS29*'Inflation Adjustments'!BM$4</f>
        <v>1024041.5062499999</v>
      </c>
      <c r="AU29" s="366">
        <f>(HLOOKUP($T29,'Inflation Adjustments'!$B$3:$BT$4,2,TRUE))*AS29</f>
        <v>686000</v>
      </c>
      <c r="AV29" s="379">
        <f t="shared" si="8"/>
        <v>3</v>
      </c>
      <c r="AW29" s="384">
        <f t="shared" si="9"/>
        <v>40</v>
      </c>
      <c r="AX29" s="499">
        <f t="shared" si="10"/>
        <v>17150</v>
      </c>
      <c r="AY29" s="499">
        <f t="shared" si="11"/>
        <v>51450</v>
      </c>
      <c r="AZ29" s="500">
        <f t="shared" si="12"/>
        <v>17150</v>
      </c>
      <c r="BA29" s="355"/>
      <c r="BB29" s="481"/>
      <c r="BC29" s="282"/>
      <c r="BD29" s="482"/>
      <c r="BE29" s="482">
        <v>0</v>
      </c>
    </row>
    <row r="30" spans="1:57" ht="35" customHeight="1" x14ac:dyDescent="0.3">
      <c r="A30" s="330" t="s">
        <v>1854</v>
      </c>
      <c r="B30" s="318" t="s">
        <v>1567</v>
      </c>
      <c r="C30" s="318" t="s">
        <v>66</v>
      </c>
      <c r="D30" s="318" t="s">
        <v>152</v>
      </c>
      <c r="E30" s="318" t="str">
        <f t="shared" si="29"/>
        <v>Seawalls</v>
      </c>
      <c r="F30" s="318" t="s">
        <v>230</v>
      </c>
      <c r="G30" s="318" t="s">
        <v>723</v>
      </c>
      <c r="H30" s="318">
        <v>16310</v>
      </c>
      <c r="I30" s="318" t="s">
        <v>1568</v>
      </c>
      <c r="J30" s="318" t="s">
        <v>1569</v>
      </c>
      <c r="K30" s="318" t="s">
        <v>1570</v>
      </c>
      <c r="L30" s="318" t="s">
        <v>1571</v>
      </c>
      <c r="M30" s="318" t="s">
        <v>194</v>
      </c>
      <c r="N30" s="502">
        <v>79</v>
      </c>
      <c r="O30" s="318">
        <v>2</v>
      </c>
      <c r="P30" s="318" t="s">
        <v>1541</v>
      </c>
      <c r="Q30" s="318">
        <f>'GRC and TUL Assumptions'!E$95</f>
        <v>40</v>
      </c>
      <c r="R30" s="318">
        <v>2019</v>
      </c>
      <c r="S30" s="318" t="s">
        <v>800</v>
      </c>
      <c r="T30" s="318">
        <f t="shared" ref="T30" si="31">R30</f>
        <v>2019</v>
      </c>
      <c r="U30" s="318" t="str">
        <f t="shared" si="30"/>
        <v>Estimated</v>
      </c>
      <c r="V30" s="318"/>
      <c r="W30" s="458">
        <f t="shared" si="2"/>
        <v>276500</v>
      </c>
      <c r="X30" s="318" t="s">
        <v>800</v>
      </c>
      <c r="Y30" s="512">
        <f t="shared" si="3"/>
        <v>20737.5</v>
      </c>
      <c r="Z30" s="517">
        <f t="shared" si="4"/>
        <v>255762.5</v>
      </c>
      <c r="AA30" s="512">
        <f t="shared" si="5"/>
        <v>6912.5</v>
      </c>
      <c r="AB30" s="517">
        <f t="shared" si="6"/>
        <v>248850</v>
      </c>
      <c r="AC30" s="511">
        <f>HLOOKUP($C$1,'Inflation Adjustments'!$BI$3:$BT$4,2)*AS30</f>
        <v>412751.42343749997</v>
      </c>
      <c r="AD30" s="511">
        <f>IF(AI30="In Service",AC30*'Maintenace Cost Assumptions'!$B$11,0)</f>
        <v>8255.0284687499989</v>
      </c>
      <c r="AE30" s="318">
        <v>3</v>
      </c>
      <c r="AF30" s="318">
        <v>3</v>
      </c>
      <c r="AG30" s="332">
        <f t="shared" si="0"/>
        <v>0.6</v>
      </c>
      <c r="AH30" s="455" t="s">
        <v>1464</v>
      </c>
      <c r="AI30" s="454" t="s">
        <v>1430</v>
      </c>
      <c r="AQ30" s="329"/>
      <c r="AR30" s="144" t="str">
        <f t="shared" si="24"/>
        <v>SWCP-026</v>
      </c>
      <c r="AS30" s="366">
        <f t="shared" si="25"/>
        <v>276500</v>
      </c>
      <c r="AT30" s="366">
        <f>AS30*'Inflation Adjustments'!BM$4</f>
        <v>412751.42343749997</v>
      </c>
      <c r="AU30" s="366">
        <f>(HLOOKUP($T30,'Inflation Adjustments'!$B$3:$BT$4,2,TRUE))*AS30</f>
        <v>276500</v>
      </c>
      <c r="AV30" s="379">
        <f t="shared" si="8"/>
        <v>3</v>
      </c>
      <c r="AW30" s="384">
        <f t="shared" si="9"/>
        <v>40</v>
      </c>
      <c r="AX30" s="499">
        <f t="shared" si="10"/>
        <v>6912.5</v>
      </c>
      <c r="AY30" s="499">
        <f t="shared" si="11"/>
        <v>20737.5</v>
      </c>
      <c r="AZ30" s="500">
        <f t="shared" si="12"/>
        <v>6912.5</v>
      </c>
      <c r="BA30" s="355"/>
      <c r="BB30" s="481"/>
      <c r="BC30" s="282"/>
      <c r="BD30" s="482"/>
      <c r="BE30" s="482">
        <v>0</v>
      </c>
    </row>
    <row r="31" spans="1:57" ht="35" customHeight="1" x14ac:dyDescent="0.3">
      <c r="A31" s="330" t="s">
        <v>1855</v>
      </c>
      <c r="B31" s="318" t="s">
        <v>1567</v>
      </c>
      <c r="C31" s="318" t="s">
        <v>66</v>
      </c>
      <c r="D31" s="318" t="s">
        <v>152</v>
      </c>
      <c r="E31" s="318" t="str">
        <f t="shared" ref="E31" si="32">D31</f>
        <v>Seawalls</v>
      </c>
      <c r="F31" s="318" t="s">
        <v>230</v>
      </c>
      <c r="G31" s="318" t="s">
        <v>723</v>
      </c>
      <c r="H31" s="318">
        <v>16380</v>
      </c>
      <c r="I31" s="318" t="s">
        <v>1570</v>
      </c>
      <c r="J31" s="318" t="s">
        <v>1571</v>
      </c>
      <c r="K31" s="318" t="s">
        <v>1572</v>
      </c>
      <c r="L31" s="318" t="s">
        <v>1573</v>
      </c>
      <c r="M31" s="318" t="s">
        <v>194</v>
      </c>
      <c r="N31" s="502">
        <v>810</v>
      </c>
      <c r="O31" s="318">
        <v>2</v>
      </c>
      <c r="P31" s="318" t="s">
        <v>1541</v>
      </c>
      <c r="Q31" s="318">
        <f>'GRC and TUL Assumptions'!E$95</f>
        <v>40</v>
      </c>
      <c r="R31" s="318">
        <v>2019</v>
      </c>
      <c r="S31" s="318" t="s">
        <v>800</v>
      </c>
      <c r="T31" s="318">
        <f t="shared" ref="T31" si="33">R31</f>
        <v>2019</v>
      </c>
      <c r="U31" s="318" t="str">
        <f t="shared" ref="U31" si="34">S31</f>
        <v>Estimated</v>
      </c>
      <c r="V31" s="318"/>
      <c r="W31" s="458">
        <f t="shared" si="2"/>
        <v>2835000</v>
      </c>
      <c r="X31" s="318" t="s">
        <v>800</v>
      </c>
      <c r="Y31" s="512">
        <f t="shared" si="3"/>
        <v>212625</v>
      </c>
      <c r="Z31" s="517">
        <f t="shared" si="4"/>
        <v>2622375</v>
      </c>
      <c r="AA31" s="512">
        <f t="shared" si="5"/>
        <v>70875</v>
      </c>
      <c r="AB31" s="517">
        <f t="shared" si="6"/>
        <v>2551500</v>
      </c>
      <c r="AC31" s="511">
        <f>HLOOKUP($C$1,'Inflation Adjustments'!$BI$3:$BT$4,2)*AS31</f>
        <v>4232008.265625</v>
      </c>
      <c r="AD31" s="511">
        <f>IF(AI31="In Service",AC31*'Maintenace Cost Assumptions'!$B$11,0)</f>
        <v>84640.165312500001</v>
      </c>
      <c r="AE31" s="318">
        <v>3</v>
      </c>
      <c r="AF31" s="318">
        <v>3</v>
      </c>
      <c r="AG31" s="332">
        <f t="shared" si="0"/>
        <v>0.6</v>
      </c>
      <c r="AH31" s="455" t="s">
        <v>1464</v>
      </c>
      <c r="AI31" s="454" t="s">
        <v>1430</v>
      </c>
      <c r="AQ31" s="329"/>
      <c r="AR31" s="144" t="str">
        <f t="shared" si="24"/>
        <v>SWCP-027</v>
      </c>
      <c r="AS31" s="366">
        <f t="shared" si="25"/>
        <v>2835000</v>
      </c>
      <c r="AT31" s="366">
        <f>AS31*'Inflation Adjustments'!BM$4</f>
        <v>4232008.265625</v>
      </c>
      <c r="AU31" s="366">
        <f>(HLOOKUP($T31,'Inflation Adjustments'!$B$3:$BT$4,2,TRUE))*AS31</f>
        <v>2835000</v>
      </c>
      <c r="AV31" s="379">
        <f t="shared" si="8"/>
        <v>3</v>
      </c>
      <c r="AW31" s="384">
        <f t="shared" si="9"/>
        <v>40</v>
      </c>
      <c r="AX31" s="499">
        <f t="shared" si="10"/>
        <v>70875</v>
      </c>
      <c r="AY31" s="499">
        <f t="shared" si="11"/>
        <v>212625</v>
      </c>
      <c r="AZ31" s="500">
        <f t="shared" si="12"/>
        <v>70875</v>
      </c>
      <c r="BA31" s="355"/>
      <c r="BB31" s="481"/>
      <c r="BC31" s="282"/>
      <c r="BD31" s="482"/>
      <c r="BE31" s="482">
        <v>0</v>
      </c>
    </row>
    <row r="32" spans="1:57" ht="35" customHeight="1" x14ac:dyDescent="0.3">
      <c r="A32" s="363"/>
      <c r="B32" s="363"/>
      <c r="C32" s="363"/>
      <c r="D32" s="363"/>
      <c r="E32" s="363"/>
      <c r="F32" s="363"/>
      <c r="G32" s="363"/>
      <c r="H32" s="363"/>
      <c r="I32" s="363"/>
      <c r="J32" s="363"/>
      <c r="K32" s="363"/>
      <c r="L32" s="363"/>
      <c r="M32" s="363"/>
      <c r="N32" s="518"/>
      <c r="O32" s="363"/>
      <c r="P32" s="363"/>
      <c r="Q32" s="363"/>
      <c r="R32" s="363"/>
      <c r="S32" s="363"/>
      <c r="T32" s="363"/>
      <c r="U32" s="363"/>
      <c r="V32" s="363"/>
      <c r="W32" s="519"/>
      <c r="X32" s="363"/>
      <c r="Y32" s="512" t="e">
        <f t="shared" ref="Y32:Y33" si="35">AY32</f>
        <v>#N/A</v>
      </c>
      <c r="Z32" s="517" t="e">
        <f t="shared" ref="Z32:Z33" si="36">W32-Y32</f>
        <v>#N/A</v>
      </c>
      <c r="AA32" s="512" t="e">
        <f t="shared" ref="AA32:AA33" si="37">AZ32</f>
        <v>#N/A</v>
      </c>
      <c r="AB32" s="517" t="e">
        <f t="shared" ref="AB32:AB33" si="38">Z32-AA32</f>
        <v>#N/A</v>
      </c>
      <c r="AC32" s="511" t="e">
        <f>HLOOKUP($C$1,'Inflation Adjustments'!$BI$3:$BT$4,2)*AS32</f>
        <v>#N/A</v>
      </c>
      <c r="AD32" s="511">
        <f>IF(AI32="In Service",AC32*'Maintenace Cost Assumptions'!$B$11,0)</f>
        <v>0</v>
      </c>
      <c r="AE32" s="363"/>
      <c r="AF32" s="363"/>
      <c r="AG32" s="332">
        <f t="shared" si="0"/>
        <v>0</v>
      </c>
      <c r="AH32" s="520"/>
      <c r="AI32" s="520"/>
      <c r="AQ32" s="329"/>
      <c r="AR32" s="144">
        <f t="shared" ref="AR32:AR34" si="39">A32</f>
        <v>0</v>
      </c>
      <c r="AS32" s="366" t="e">
        <f t="shared" ref="AS32:AS34" si="40">VLOOKUP(F32,$AP$5:$AQ$8,2,FALSE)*N32</f>
        <v>#N/A</v>
      </c>
      <c r="AT32" s="366" t="e">
        <f>AS32*'Inflation Adjustments'!BM$4</f>
        <v>#N/A</v>
      </c>
      <c r="AU32" s="366" t="e">
        <f>(HLOOKUP($T32,'Inflation Adjustments'!$B$3:$BT$4,2,TRUE))*AS32</f>
        <v>#N/A</v>
      </c>
      <c r="AV32" s="379">
        <f t="shared" ref="AV32:AV34" si="41">$C$1-T32-1</f>
        <v>2022</v>
      </c>
      <c r="AW32" s="384">
        <f t="shared" ref="AW32:AW34" si="42">Q32</f>
        <v>0</v>
      </c>
      <c r="AX32" s="499" t="e">
        <f t="shared" ref="AX32:AX34" si="43">AU32/AW32</f>
        <v>#N/A</v>
      </c>
      <c r="AY32" s="499" t="e">
        <f t="shared" ref="AY32:AY34" si="44">IF(AV32*$AX32&gt;AU32,AU32,AV32*$AX32)</f>
        <v>#N/A</v>
      </c>
      <c r="AZ32" s="500" t="e">
        <f t="shared" ref="AZ32:AZ34" si="45">IF(AX32&lt;(AU32-AY32),AX32,(AU32-AY32))</f>
        <v>#N/A</v>
      </c>
      <c r="BA32" s="355"/>
      <c r="BB32" s="481"/>
      <c r="BC32" s="282"/>
      <c r="BD32" s="482"/>
      <c r="BE32" s="482">
        <v>0</v>
      </c>
    </row>
    <row r="33" spans="1:57" ht="35" customHeight="1" x14ac:dyDescent="0.3">
      <c r="A33" s="363"/>
      <c r="B33" s="363"/>
      <c r="C33" s="363"/>
      <c r="D33" s="363"/>
      <c r="E33" s="363"/>
      <c r="F33" s="363"/>
      <c r="G33" s="363"/>
      <c r="H33" s="363"/>
      <c r="I33" s="363"/>
      <c r="J33" s="363"/>
      <c r="K33" s="363"/>
      <c r="L33" s="363"/>
      <c r="M33" s="363"/>
      <c r="N33" s="518"/>
      <c r="O33" s="363"/>
      <c r="P33" s="363"/>
      <c r="Q33" s="363"/>
      <c r="R33" s="363"/>
      <c r="S33" s="363"/>
      <c r="T33" s="363"/>
      <c r="U33" s="363"/>
      <c r="V33" s="363"/>
      <c r="W33" s="519"/>
      <c r="X33" s="363"/>
      <c r="Y33" s="512" t="e">
        <f t="shared" si="35"/>
        <v>#N/A</v>
      </c>
      <c r="Z33" s="517" t="e">
        <f t="shared" si="36"/>
        <v>#N/A</v>
      </c>
      <c r="AA33" s="512" t="e">
        <f t="shared" si="37"/>
        <v>#N/A</v>
      </c>
      <c r="AB33" s="517" t="e">
        <f t="shared" si="38"/>
        <v>#N/A</v>
      </c>
      <c r="AC33" s="511" t="e">
        <f>HLOOKUP($C$1,'Inflation Adjustments'!$BI$3:$BT$4,2)*AS33</f>
        <v>#N/A</v>
      </c>
      <c r="AD33" s="511">
        <f>IF(AI33="In Service",AC33*'Maintenace Cost Assumptions'!$B$11,0)</f>
        <v>0</v>
      </c>
      <c r="AE33" s="363"/>
      <c r="AF33" s="363"/>
      <c r="AG33" s="332">
        <f t="shared" si="0"/>
        <v>0</v>
      </c>
      <c r="AH33" s="520"/>
      <c r="AI33" s="520"/>
      <c r="AQ33" s="329"/>
      <c r="AR33" s="144">
        <f t="shared" si="39"/>
        <v>0</v>
      </c>
      <c r="AS33" s="366" t="e">
        <f t="shared" si="40"/>
        <v>#N/A</v>
      </c>
      <c r="AT33" s="366" t="e">
        <f>AS33*'Inflation Adjustments'!BM$4</f>
        <v>#N/A</v>
      </c>
      <c r="AU33" s="366" t="e">
        <f>(HLOOKUP($T33,'Inflation Adjustments'!$B$3:$BT$4,2,TRUE))*AS33</f>
        <v>#N/A</v>
      </c>
      <c r="AV33" s="379">
        <f t="shared" si="41"/>
        <v>2022</v>
      </c>
      <c r="AW33" s="384">
        <f t="shared" si="42"/>
        <v>0</v>
      </c>
      <c r="AX33" s="499" t="e">
        <f t="shared" si="43"/>
        <v>#N/A</v>
      </c>
      <c r="AY33" s="499" t="e">
        <f t="shared" si="44"/>
        <v>#N/A</v>
      </c>
      <c r="AZ33" s="500" t="e">
        <f t="shared" si="45"/>
        <v>#N/A</v>
      </c>
      <c r="BA33" s="355"/>
      <c r="BB33" s="481"/>
      <c r="BC33" s="282"/>
      <c r="BD33" s="482"/>
      <c r="BE33" s="482">
        <v>0</v>
      </c>
    </row>
    <row r="34" spans="1:57" ht="30" customHeight="1" x14ac:dyDescent="0.3">
      <c r="AR34" s="144">
        <f t="shared" si="39"/>
        <v>0</v>
      </c>
      <c r="AS34" s="366" t="e">
        <f t="shared" si="40"/>
        <v>#N/A</v>
      </c>
      <c r="AT34" s="366" t="e">
        <f>AS34*'Inflation Adjustments'!BM$4</f>
        <v>#N/A</v>
      </c>
      <c r="AU34" s="366" t="e">
        <f>(HLOOKUP($T34,'Inflation Adjustments'!$B$3:$BT$4,2,TRUE))*AS34</f>
        <v>#N/A</v>
      </c>
      <c r="AV34" s="379">
        <f t="shared" si="41"/>
        <v>2022</v>
      </c>
      <c r="AW34" s="384">
        <f t="shared" si="42"/>
        <v>0</v>
      </c>
      <c r="AX34" s="499" t="e">
        <f t="shared" si="43"/>
        <v>#N/A</v>
      </c>
      <c r="AY34" s="499" t="e">
        <f t="shared" si="44"/>
        <v>#N/A</v>
      </c>
      <c r="AZ34" s="500" t="e">
        <f t="shared" si="45"/>
        <v>#N/A</v>
      </c>
      <c r="BA34" s="355"/>
      <c r="BB34" s="481"/>
      <c r="BC34" s="282"/>
      <c r="BD34" s="482"/>
      <c r="BE34" s="482">
        <v>0</v>
      </c>
    </row>
    <row r="35" spans="1:57" ht="30" customHeight="1" x14ac:dyDescent="0.3">
      <c r="E35" s="289" t="s">
        <v>52</v>
      </c>
      <c r="W35" s="504">
        <f t="shared" ref="W35:AB35" si="46">SUM(W5:W31)</f>
        <v>15291617.030337803</v>
      </c>
      <c r="X35" s="504"/>
      <c r="Y35" s="504">
        <f t="shared" si="46"/>
        <v>4086588.38154878</v>
      </c>
      <c r="Z35" s="504">
        <f t="shared" si="46"/>
        <v>11205028.648789022</v>
      </c>
      <c r="AA35" s="504">
        <f t="shared" si="46"/>
        <v>353644.76593864674</v>
      </c>
      <c r="AB35" s="504">
        <f t="shared" si="46"/>
        <v>10851383.882850375</v>
      </c>
      <c r="AC35" s="504">
        <f>SUM(AC5:AC31)</f>
        <v>40563836.545312501</v>
      </c>
      <c r="AD35" s="504">
        <f t="shared" ref="AD35" si="47">SUM(AD5:AD31)</f>
        <v>717183.58769531222</v>
      </c>
      <c r="AU35" s="341"/>
      <c r="AV35" s="384"/>
      <c r="AW35" s="448"/>
      <c r="AX35" s="93"/>
      <c r="AY35" s="93"/>
      <c r="AZ35" s="449"/>
      <c r="BA35" s="449"/>
      <c r="BB35" s="449"/>
      <c r="BD35" s="450"/>
      <c r="BE35" s="450"/>
    </row>
    <row r="36" spans="1:57" ht="30" customHeight="1" x14ac:dyDescent="0.3">
      <c r="AU36" s="341"/>
      <c r="AV36" s="384"/>
      <c r="AW36" s="448"/>
      <c r="AX36" s="93"/>
      <c r="AY36" s="93"/>
      <c r="AZ36" s="449"/>
      <c r="BA36" s="449"/>
      <c r="BB36" s="449"/>
      <c r="BD36" s="450"/>
      <c r="BE36" s="450"/>
    </row>
    <row r="37" spans="1:57" ht="30" customHeight="1" x14ac:dyDescent="0.3">
      <c r="AU37" s="341"/>
      <c r="AV37" s="384"/>
      <c r="AW37" s="448"/>
      <c r="AX37" s="93"/>
      <c r="AY37" s="93"/>
      <c r="AZ37" s="449"/>
      <c r="BA37" s="449"/>
      <c r="BB37" s="449"/>
      <c r="BD37" s="450"/>
      <c r="BE37" s="450"/>
    </row>
    <row r="38" spans="1:57" ht="20" customHeight="1" x14ac:dyDescent="0.3">
      <c r="AU38" s="341"/>
      <c r="AV38" s="384"/>
      <c r="AW38" s="448"/>
      <c r="AX38" s="93"/>
      <c r="AY38" s="93"/>
      <c r="AZ38" s="449"/>
      <c r="BA38" s="449"/>
      <c r="BB38" s="449"/>
      <c r="BD38" s="450"/>
      <c r="BE38" s="450"/>
    </row>
    <row r="39" spans="1:57" ht="34.5" customHeight="1" x14ac:dyDescent="0.3">
      <c r="AU39" s="341"/>
      <c r="AV39" s="384"/>
      <c r="AW39" s="448"/>
      <c r="AX39" s="93"/>
      <c r="AY39" s="93"/>
      <c r="AZ39" s="449"/>
      <c r="BA39" s="449"/>
      <c r="BB39" s="449"/>
      <c r="BD39" s="450"/>
      <c r="BE39" s="450"/>
    </row>
    <row r="40" spans="1:57" ht="20" customHeight="1" x14ac:dyDescent="0.3">
      <c r="AU40" s="341"/>
      <c r="AV40" s="384"/>
      <c r="AW40" s="448"/>
      <c r="AX40" s="93"/>
      <c r="AY40" s="93"/>
      <c r="AZ40" s="449"/>
      <c r="BA40" s="449"/>
      <c r="BB40" s="449"/>
      <c r="BD40" s="450"/>
      <c r="BE40" s="450"/>
    </row>
    <row r="41" spans="1:57" ht="20" customHeight="1" x14ac:dyDescent="0.3">
      <c r="C41" s="462"/>
      <c r="D41" s="462"/>
      <c r="E41" s="462"/>
      <c r="F41" s="462"/>
      <c r="G41" s="462"/>
      <c r="H41" s="462"/>
      <c r="I41" s="462"/>
      <c r="J41" s="462"/>
      <c r="K41" s="462"/>
      <c r="L41" s="462"/>
      <c r="M41" s="462"/>
      <c r="N41" s="462"/>
      <c r="O41" s="462"/>
      <c r="P41" s="462"/>
      <c r="Q41" s="462"/>
      <c r="R41" s="462"/>
      <c r="S41" s="462"/>
      <c r="T41" s="462"/>
      <c r="U41" s="462"/>
      <c r="V41" s="462"/>
      <c r="W41" s="462"/>
      <c r="X41" s="462"/>
      <c r="Y41" s="462"/>
      <c r="Z41" s="462"/>
      <c r="AA41" s="462"/>
      <c r="AB41" s="462"/>
      <c r="AC41" s="462"/>
      <c r="AE41" s="462"/>
      <c r="AF41" s="462"/>
    </row>
    <row r="42" spans="1:57" ht="20" customHeight="1" x14ac:dyDescent="0.3">
      <c r="C42" s="462"/>
      <c r="D42" s="462"/>
      <c r="E42" s="462"/>
      <c r="F42" s="462"/>
      <c r="G42" s="462"/>
      <c r="H42" s="462"/>
      <c r="I42" s="462"/>
      <c r="J42" s="462"/>
      <c r="K42" s="462"/>
      <c r="L42" s="462"/>
      <c r="M42" s="462"/>
      <c r="N42" s="462"/>
      <c r="O42" s="462"/>
      <c r="P42" s="462"/>
      <c r="Q42" s="462"/>
      <c r="R42" s="462"/>
      <c r="S42" s="462"/>
      <c r="T42" s="462"/>
      <c r="U42" s="462"/>
      <c r="V42" s="462"/>
      <c r="W42" s="462"/>
      <c r="X42" s="462"/>
      <c r="Y42" s="462"/>
      <c r="Z42" s="462"/>
      <c r="AA42" s="462"/>
      <c r="AB42" s="462"/>
      <c r="AC42" s="462"/>
      <c r="AD42" s="462"/>
      <c r="AE42" s="462"/>
      <c r="AF42" s="462"/>
    </row>
    <row r="43" spans="1:57" ht="20" customHeight="1" x14ac:dyDescent="0.3">
      <c r="C43" s="462"/>
      <c r="D43" s="462"/>
      <c r="E43" s="462"/>
      <c r="F43" s="462"/>
      <c r="G43" s="462"/>
      <c r="H43" s="462"/>
      <c r="I43" s="462"/>
      <c r="J43" s="462"/>
      <c r="K43" s="462"/>
      <c r="L43" s="462"/>
      <c r="M43" s="462"/>
      <c r="N43" s="462"/>
      <c r="O43" s="462"/>
      <c r="P43" s="462"/>
      <c r="Q43" s="462"/>
      <c r="R43" s="462"/>
      <c r="S43" s="462"/>
      <c r="T43" s="462"/>
      <c r="U43" s="462"/>
      <c r="V43" s="462"/>
      <c r="W43" s="462"/>
      <c r="X43" s="462"/>
      <c r="Y43" s="462"/>
      <c r="Z43" s="462"/>
      <c r="AA43" s="462"/>
      <c r="AB43" s="462"/>
      <c r="AC43" s="462"/>
      <c r="AD43" s="462"/>
      <c r="AE43" s="462"/>
      <c r="AF43" s="462"/>
    </row>
    <row r="44" spans="1:57" x14ac:dyDescent="0.3">
      <c r="C44" s="462"/>
      <c r="D44" s="462"/>
      <c r="E44" s="462"/>
      <c r="F44" s="462"/>
      <c r="G44" s="462"/>
      <c r="H44" s="462"/>
      <c r="I44" s="462"/>
      <c r="J44" s="462"/>
      <c r="K44" s="462"/>
      <c r="L44" s="462"/>
      <c r="M44" s="462"/>
      <c r="N44" s="462"/>
      <c r="O44" s="462"/>
      <c r="P44" s="462"/>
      <c r="Q44" s="462"/>
      <c r="R44" s="462"/>
      <c r="S44" s="462"/>
      <c r="T44" s="462"/>
      <c r="U44" s="462"/>
      <c r="V44" s="462"/>
      <c r="W44" s="462"/>
      <c r="X44" s="462"/>
      <c r="Y44" s="462"/>
      <c r="Z44" s="462"/>
      <c r="AA44" s="462"/>
      <c r="AB44" s="462"/>
      <c r="AC44" s="462"/>
      <c r="AD44" s="462"/>
      <c r="AE44" s="462"/>
      <c r="AF44" s="462"/>
    </row>
    <row r="45" spans="1:57" x14ac:dyDescent="0.3">
      <c r="C45" s="462"/>
      <c r="D45" s="462"/>
      <c r="E45" s="462"/>
      <c r="F45" s="462"/>
      <c r="G45" s="462"/>
      <c r="H45" s="462"/>
      <c r="I45" s="462"/>
      <c r="J45" s="462"/>
      <c r="K45" s="462"/>
      <c r="L45" s="462"/>
      <c r="M45" s="462"/>
      <c r="N45" s="462"/>
      <c r="O45" s="462"/>
      <c r="P45" s="462"/>
      <c r="Q45" s="462"/>
      <c r="R45" s="462"/>
      <c r="S45" s="462"/>
      <c r="T45" s="462"/>
      <c r="U45" s="462"/>
      <c r="V45" s="462"/>
      <c r="W45" s="504">
        <f>SUM(W6:W31)</f>
        <v>15150305.331796374</v>
      </c>
      <c r="Y45" s="504">
        <f>SUM(Y6:Y31)</f>
        <v>3980604.6076427083</v>
      </c>
      <c r="Z45" s="504">
        <f>SUM(Z6:Z31)</f>
        <v>11169700.724153664</v>
      </c>
      <c r="AB45" s="505" t="s">
        <v>52</v>
      </c>
      <c r="AC45" s="504">
        <f>SUM(AC6:AC31)</f>
        <v>39952546.462499999</v>
      </c>
      <c r="AD45" s="504">
        <f>SUM(AD6:AD31)</f>
        <v>704957.78603906231</v>
      </c>
    </row>
    <row r="46" spans="1:57" x14ac:dyDescent="0.3">
      <c r="C46" s="462"/>
      <c r="D46" s="462"/>
      <c r="E46" s="462"/>
      <c r="F46" s="462"/>
      <c r="G46" s="462"/>
      <c r="H46" s="462"/>
      <c r="I46" s="462"/>
      <c r="J46" s="462"/>
      <c r="K46" s="462"/>
      <c r="L46" s="462"/>
      <c r="M46" s="462"/>
      <c r="N46" s="462"/>
      <c r="O46" s="462"/>
      <c r="P46" s="462"/>
      <c r="Q46" s="462"/>
      <c r="R46" s="462"/>
      <c r="S46" s="462"/>
      <c r="T46" s="462"/>
      <c r="U46" s="462"/>
      <c r="V46" s="462"/>
    </row>
    <row r="47" spans="1:57" x14ac:dyDescent="0.3">
      <c r="C47" s="462"/>
      <c r="D47" s="462"/>
      <c r="E47" s="462"/>
      <c r="F47" s="462"/>
      <c r="G47" s="462"/>
      <c r="H47" s="462"/>
      <c r="I47" s="462"/>
      <c r="J47" s="462"/>
      <c r="K47" s="462"/>
      <c r="L47" s="462"/>
      <c r="M47" s="462"/>
      <c r="N47" s="462"/>
      <c r="O47" s="462"/>
      <c r="P47" s="462"/>
      <c r="Q47" s="462"/>
      <c r="R47" s="462"/>
      <c r="S47" s="462"/>
      <c r="T47" s="462"/>
      <c r="U47" s="462"/>
      <c r="V47" s="462"/>
    </row>
    <row r="48" spans="1:57" x14ac:dyDescent="0.3">
      <c r="C48" s="462"/>
      <c r="D48" s="462"/>
      <c r="E48" s="462"/>
      <c r="F48" s="462"/>
      <c r="G48" s="462"/>
      <c r="H48" s="462"/>
      <c r="I48" s="462"/>
      <c r="J48" s="462"/>
      <c r="K48" s="462"/>
      <c r="L48" s="462"/>
      <c r="M48" s="462"/>
      <c r="N48" s="462"/>
      <c r="O48" s="462"/>
      <c r="P48" s="462"/>
      <c r="Q48" s="462"/>
      <c r="R48" s="462"/>
      <c r="S48" s="462"/>
      <c r="T48" s="462"/>
      <c r="U48" s="462"/>
      <c r="V48" s="462"/>
      <c r="AG48" s="282">
        <f>COUNTIF(AG$6:AG$35,"&gt;85%")</f>
        <v>1</v>
      </c>
      <c r="AH48" s="282"/>
      <c r="AI48" s="282"/>
    </row>
    <row r="49" spans="3:35" x14ac:dyDescent="0.3">
      <c r="C49" s="462"/>
      <c r="D49" s="462"/>
      <c r="E49" s="462"/>
      <c r="F49" s="462"/>
      <c r="G49" s="462"/>
      <c r="H49" s="462"/>
      <c r="I49" s="462"/>
      <c r="J49" s="462"/>
      <c r="K49" s="462"/>
      <c r="L49" s="462"/>
      <c r="M49" s="462"/>
      <c r="N49" s="462"/>
      <c r="O49" s="462"/>
      <c r="P49" s="462"/>
      <c r="Q49" s="462"/>
      <c r="R49" s="462"/>
      <c r="S49" s="462"/>
      <c r="T49" s="462"/>
      <c r="U49" s="462"/>
      <c r="V49" s="462"/>
      <c r="AG49" s="282">
        <f>COUNTIF(AG$6:AG$35,"&gt;70%")</f>
        <v>11</v>
      </c>
      <c r="AH49" s="282"/>
      <c r="AI49" s="282"/>
    </row>
    <row r="50" spans="3:35" x14ac:dyDescent="0.3">
      <c r="AG50" s="282">
        <f>COUNTIF(AG$6:AG$35,"&gt;50%")</f>
        <v>22</v>
      </c>
      <c r="AH50" s="282"/>
      <c r="AI50" s="282"/>
    </row>
    <row r="51" spans="3:35" x14ac:dyDescent="0.3">
      <c r="AG51" s="282">
        <f>COUNTIF(AG$6:AG$35,"&lt;50%")</f>
        <v>6</v>
      </c>
      <c r="AH51" s="282"/>
      <c r="AI51" s="282"/>
    </row>
    <row r="53" spans="3:35" x14ac:dyDescent="0.3">
      <c r="AG53" s="289">
        <f>AG48</f>
        <v>1</v>
      </c>
    </row>
    <row r="54" spans="3:35" x14ac:dyDescent="0.3">
      <c r="AG54" s="289">
        <f>AG49-AG48</f>
        <v>10</v>
      </c>
    </row>
    <row r="55" spans="3:35" x14ac:dyDescent="0.3">
      <c r="AG55" s="289">
        <f>AG50-AG49-AG48</f>
        <v>10</v>
      </c>
    </row>
    <row r="56" spans="3:35" x14ac:dyDescent="0.3">
      <c r="AG56" s="289">
        <f>AG51</f>
        <v>6</v>
      </c>
    </row>
  </sheetData>
  <mergeCells count="20">
    <mergeCell ref="A2:L2"/>
    <mergeCell ref="M2:P2"/>
    <mergeCell ref="Q2:AB2"/>
    <mergeCell ref="AC2:AG2"/>
    <mergeCell ref="M3:P3"/>
    <mergeCell ref="Q3:Q4"/>
    <mergeCell ref="R3:S3"/>
    <mergeCell ref="T3:U3"/>
    <mergeCell ref="W3:X3"/>
    <mergeCell ref="Y3:Y4"/>
    <mergeCell ref="AU3:BA3"/>
    <mergeCell ref="BB3:BE3"/>
    <mergeCell ref="AQ4:AR4"/>
    <mergeCell ref="Z3:Z4"/>
    <mergeCell ref="AA3:AA4"/>
    <mergeCell ref="AB3:AB4"/>
    <mergeCell ref="AC3:AC4"/>
    <mergeCell ref="AD3:AD4"/>
    <mergeCell ref="AE3:AE4"/>
    <mergeCell ref="AI3:AI4"/>
  </mergeCells>
  <phoneticPr fontId="13" type="noConversion"/>
  <conditionalFormatting sqref="AE5:AF33">
    <cfRule type="cellIs" dxfId="29" priority="8" operator="equal">
      <formula>1</formula>
    </cfRule>
    <cfRule type="cellIs" dxfId="28" priority="9" operator="equal">
      <formula>2</formula>
    </cfRule>
    <cfRule type="cellIs" dxfId="27" priority="10" operator="equal">
      <formula>3</formula>
    </cfRule>
    <cfRule type="cellIs" dxfId="26" priority="11" operator="greaterThan">
      <formula>3.9</formula>
    </cfRule>
  </conditionalFormatting>
  <conditionalFormatting sqref="AG5:AG33">
    <cfRule type="cellIs" dxfId="25" priority="1" operator="between">
      <formula>0.3</formula>
      <formula>0.5</formula>
    </cfRule>
    <cfRule type="cellIs" dxfId="24" priority="3" operator="lessThan">
      <formula>0.3</formula>
    </cfRule>
    <cfRule type="cellIs" dxfId="23" priority="4" operator="between">
      <formula>0.3</formula>
      <formula>0.5</formula>
    </cfRule>
    <cfRule type="cellIs" dxfId="22" priority="5" operator="between">
      <formula>0.5</formula>
      <formula>0.6</formula>
    </cfRule>
    <cfRule type="cellIs" dxfId="21" priority="6" operator="greaterThan">
      <formula>0.6</formula>
    </cfRule>
    <cfRule type="cellIs" dxfId="20" priority="7" operator="lessThan">
      <formula>0.5</formula>
    </cfRule>
  </conditionalFormatting>
  <dataValidations count="1">
    <dataValidation type="list" allowBlank="1" showInputMessage="1" showErrorMessage="1" sqref="F5:F33" xr:uid="{A500D189-B7FF-436C-92AF-BA11F2767F29}">
      <formula1>$AP$5:$AP$8</formula1>
    </dataValidation>
  </dataValidations>
  <pageMargins left="0.7" right="0.7" top="0.75" bottom="0.75" header="0.3" footer="0.3"/>
  <pageSetup orientation="portrait" r:id="rId1"/>
  <headerFooter>
    <oddFooter>&amp;C_x000D_&amp;1#&amp;"Calibri"&amp;8&amp;K000000 INTERNAL. This information is accessible to ADB Management and staff. It may be shared outside ADB with appropriate permission.</oddFooter>
  </headerFooter>
  <ignoredErrors>
    <ignoredError sqref="H5" numberStoredAsText="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7436EED-7DAB-4439-8927-D42FC27726B7}">
          <x14:formula1>
            <xm:f>'Condition rating weights'!$C$29:$C$34</xm:f>
          </x14:formula1>
          <xm:sqref>AE5:AF33</xm:sqref>
        </x14:dataValidation>
        <x14:dataValidation type="list" allowBlank="1" showInputMessage="1" showErrorMessage="1" xr:uid="{3D8C265F-48E8-4CB2-B0F6-ACBB625F86C8}">
          <x14:formula1>
            <xm:f>'AR-Hierarchy '!$E$158:$E$161</xm:f>
          </x14:formula1>
          <xm:sqref>D5:D33</xm:sqref>
        </x14:dataValidation>
        <x14:dataValidation type="list" allowBlank="1" showInputMessage="1" showErrorMessage="1" xr:uid="{2D16B34D-4295-4AFC-91A3-D971027D4886}">
          <x14:formula1>
            <xm:f>'AR-Hierarchy '!$B$158:$B$161</xm:f>
          </x14:formula1>
          <xm:sqref>C5:C33</xm:sqref>
        </x14:dataValidation>
        <x14:dataValidation type="list" allowBlank="1" showInputMessage="1" showErrorMessage="1" xr:uid="{7CF00553-4F32-4520-8818-172EB4E05361}">
          <x14:formula1>
            <xm:f>'AR-Hierarchy '!$D$107:$D$109</xm:f>
          </x14:formula1>
          <xm:sqref>D34:D40</xm:sqref>
        </x14:dataValidation>
        <x14:dataValidation type="list" allowBlank="1" showInputMessage="1" showErrorMessage="1" xr:uid="{F22694A6-31A0-4A01-B7A2-F63F0C79236B}">
          <x14:formula1>
            <xm:f>'AR-Hierarchy '!$H$107:$H$109</xm:f>
          </x14:formula1>
          <xm:sqref>F34:F37</xm:sqref>
        </x14:dataValidation>
        <x14:dataValidation type="list" allowBlank="1" showInputMessage="1" showErrorMessage="1" xr:uid="{BC8ED13D-424F-4D35-B13E-5DA4D158E372}">
          <x14:formula1>
            <xm:f>'AR-Hierarchy '!$B$4:$B$53</xm:f>
          </x14:formula1>
          <xm:sqref>C34:C37</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9A941-7E21-44ED-9906-425CB3EA75FB}">
  <dimension ref="A1:CX38"/>
  <sheetViews>
    <sheetView topLeftCell="S1" zoomScaleNormal="100" workbookViewId="0">
      <selection activeCell="V5" sqref="V5"/>
    </sheetView>
  </sheetViews>
  <sheetFormatPr defaultColWidth="8.81640625" defaultRowHeight="14" x14ac:dyDescent="0.3"/>
  <cols>
    <col min="1" max="15" width="35.6328125" style="289" customWidth="1"/>
    <col min="16" max="35" width="35.6328125" style="365" customWidth="1"/>
    <col min="36" max="38" width="8.81640625" style="282"/>
    <col min="39" max="41" width="8.81640625" style="91"/>
    <col min="42" max="42" width="12.54296875" style="91" bestFit="1" customWidth="1"/>
    <col min="43" max="43" width="11.08984375" style="91" bestFit="1" customWidth="1"/>
    <col min="44" max="44" width="14.36328125" style="91" customWidth="1"/>
    <col min="45" max="45" width="8.81640625" style="91"/>
    <col min="46" max="46" width="12.54296875" style="91" customWidth="1"/>
    <col min="47" max="47" width="11.54296875" style="91" customWidth="1"/>
    <col min="48" max="48" width="8.81640625" style="91"/>
    <col min="49" max="49" width="11.6328125" style="91" customWidth="1"/>
    <col min="50" max="50" width="16.81640625" style="91" customWidth="1"/>
    <col min="51" max="51" width="8.81640625" style="91"/>
    <col min="52" max="52" width="12.54296875" style="91" bestFit="1" customWidth="1"/>
    <col min="53" max="53" width="11.08984375" style="91" bestFit="1" customWidth="1"/>
    <col min="54" max="54" width="10.81640625" style="91" customWidth="1"/>
    <col min="55" max="55" width="11.453125" style="91" customWidth="1"/>
    <col min="56" max="56" width="10" style="91" bestFit="1" customWidth="1"/>
    <col min="57" max="57" width="9.54296875" style="91" customWidth="1"/>
    <col min="58" max="61" width="8.81640625" style="91"/>
    <col min="62" max="62" width="16.36328125" style="91" customWidth="1"/>
    <col min="63" max="63" width="10" style="91" customWidth="1"/>
    <col min="64" max="64" width="8.81640625" style="91"/>
    <col min="65" max="65" width="9.08984375" style="91" bestFit="1" customWidth="1"/>
    <col min="66" max="66" width="8.81640625" style="91"/>
    <col min="67" max="67" width="10.81640625" style="91" customWidth="1"/>
    <col min="68" max="68" width="8.81640625" style="91" bestFit="1" customWidth="1"/>
    <col min="69" max="69" width="9.08984375" style="91" bestFit="1" customWidth="1"/>
    <col min="70" max="70" width="8.81640625" style="91" bestFit="1" customWidth="1"/>
    <col min="71" max="71" width="8.81640625" style="91" customWidth="1"/>
    <col min="72" max="72" width="10.08984375" style="91" customWidth="1"/>
    <col min="73" max="75" width="8.81640625" style="91"/>
    <col min="76" max="76" width="11.08984375" style="91" bestFit="1" customWidth="1"/>
    <col min="77" max="81" width="11.08984375" style="91" customWidth="1"/>
    <col min="82" max="82" width="9.453125" style="91" customWidth="1"/>
    <col min="83" max="83" width="8.81640625" style="91"/>
    <col min="84" max="84" width="11.08984375" style="91" bestFit="1" customWidth="1"/>
    <col min="85" max="85" width="8.81640625" style="91"/>
    <col min="86" max="86" width="11.08984375" style="91" bestFit="1" customWidth="1"/>
    <col min="87" max="87" width="9.6328125" style="91" customWidth="1"/>
    <col min="88" max="88" width="8.81640625" style="91"/>
    <col min="89" max="89" width="9.08984375" style="91" bestFit="1" customWidth="1"/>
    <col min="90" max="90" width="8.81640625" style="91"/>
    <col min="91" max="91" width="9.08984375" style="91" bestFit="1" customWidth="1"/>
    <col min="92" max="92" width="12.1796875" style="91" customWidth="1"/>
    <col min="93" max="93" width="10.1796875" style="91" customWidth="1"/>
    <col min="94" max="96" width="8.81640625" style="91"/>
    <col min="97" max="97" width="11.08984375" style="91" bestFit="1" customWidth="1"/>
    <col min="98" max="98" width="9.90625" style="91" customWidth="1"/>
    <col min="99" max="16384" width="8.81640625" style="91"/>
  </cols>
  <sheetData>
    <row r="1" spans="1:102" ht="39" customHeight="1" thickTop="1" x14ac:dyDescent="0.3">
      <c r="A1" s="621" t="s">
        <v>32</v>
      </c>
      <c r="B1" s="622"/>
      <c r="C1" s="288">
        <v>2023</v>
      </c>
    </row>
    <row r="2" spans="1:102" ht="43" customHeight="1" thickBot="1" x14ac:dyDescent="0.35">
      <c r="A2" s="584" t="s">
        <v>1403</v>
      </c>
      <c r="B2" s="585"/>
      <c r="C2" s="585"/>
      <c r="D2" s="585"/>
      <c r="E2" s="585"/>
      <c r="F2" s="585"/>
      <c r="G2" s="585"/>
      <c r="H2" s="585"/>
      <c r="I2" s="585"/>
      <c r="J2" s="585"/>
      <c r="K2" s="585"/>
      <c r="L2" s="585" t="s">
        <v>1410</v>
      </c>
      <c r="M2" s="585"/>
      <c r="N2" s="585"/>
      <c r="O2" s="586"/>
      <c r="P2" s="665" t="s">
        <v>267</v>
      </c>
      <c r="Q2" s="666"/>
      <c r="R2" s="666"/>
      <c r="S2" s="666"/>
      <c r="T2" s="666"/>
      <c r="U2" s="666"/>
      <c r="V2" s="666"/>
      <c r="W2" s="666"/>
      <c r="X2" s="666"/>
      <c r="Y2" s="666"/>
      <c r="Z2" s="666"/>
      <c r="AA2" s="666"/>
      <c r="AB2" s="667"/>
      <c r="AC2" s="665" t="s">
        <v>268</v>
      </c>
      <c r="AD2" s="666"/>
      <c r="AE2" s="666"/>
      <c r="AF2" s="666"/>
      <c r="AG2" s="666"/>
      <c r="AH2" s="666"/>
      <c r="AI2" s="434"/>
      <c r="BO2" s="589" t="s">
        <v>828</v>
      </c>
      <c r="BP2" s="589"/>
      <c r="BQ2" s="589"/>
      <c r="BR2" s="589"/>
      <c r="BS2" s="589"/>
      <c r="BT2" s="589"/>
      <c r="BU2" s="589"/>
      <c r="BV2" s="589"/>
      <c r="BW2" s="589"/>
      <c r="BX2" s="589"/>
      <c r="BY2" s="93"/>
      <c r="BZ2" s="93"/>
      <c r="CA2" s="93"/>
      <c r="CB2" s="93"/>
      <c r="CC2" s="93"/>
      <c r="CD2" s="589" t="s">
        <v>829</v>
      </c>
      <c r="CE2" s="589"/>
      <c r="CF2" s="589"/>
      <c r="CG2" s="589"/>
      <c r="CH2" s="589"/>
      <c r="CI2" s="589"/>
      <c r="CJ2" s="589"/>
      <c r="CK2" s="589"/>
      <c r="CL2" s="589"/>
      <c r="CM2" s="93"/>
      <c r="CN2" s="93"/>
    </row>
    <row r="3" spans="1:102" ht="41.5" customHeight="1" thickTop="1" x14ac:dyDescent="0.3">
      <c r="A3" s="293" t="s">
        <v>0</v>
      </c>
      <c r="B3" s="294" t="s">
        <v>34</v>
      </c>
      <c r="C3" s="294" t="s">
        <v>250</v>
      </c>
      <c r="D3" s="294" t="s">
        <v>251</v>
      </c>
      <c r="E3" s="294" t="s">
        <v>1</v>
      </c>
      <c r="F3" s="294" t="s">
        <v>2</v>
      </c>
      <c r="G3" s="294" t="s">
        <v>252</v>
      </c>
      <c r="H3" s="294" t="s">
        <v>711</v>
      </c>
      <c r="I3" s="294" t="s">
        <v>712</v>
      </c>
      <c r="J3" s="294" t="s">
        <v>713</v>
      </c>
      <c r="K3" s="294" t="s">
        <v>714</v>
      </c>
      <c r="L3" s="616" t="s">
        <v>255</v>
      </c>
      <c r="M3" s="626"/>
      <c r="N3" s="616" t="s">
        <v>258</v>
      </c>
      <c r="O3" s="626"/>
      <c r="P3" s="673" t="s">
        <v>259</v>
      </c>
      <c r="Q3" s="668" t="s">
        <v>38</v>
      </c>
      <c r="R3" s="669"/>
      <c r="S3" s="668" t="s">
        <v>261</v>
      </c>
      <c r="T3" s="670"/>
      <c r="U3" s="438"/>
      <c r="V3" s="438"/>
      <c r="W3" s="670" t="s">
        <v>262</v>
      </c>
      <c r="X3" s="670"/>
      <c r="Y3" s="670" t="s">
        <v>263</v>
      </c>
      <c r="Z3" s="670" t="s">
        <v>326</v>
      </c>
      <c r="AA3" s="669" t="s">
        <v>33</v>
      </c>
      <c r="AB3" s="673" t="s">
        <v>264</v>
      </c>
      <c r="AC3" s="673" t="s">
        <v>265</v>
      </c>
      <c r="AD3" s="673" t="s">
        <v>266</v>
      </c>
      <c r="AE3" s="673" t="s">
        <v>1176</v>
      </c>
      <c r="AF3" s="673" t="s">
        <v>1441</v>
      </c>
      <c r="AG3" s="438"/>
      <c r="AH3" s="295" t="s">
        <v>1442</v>
      </c>
      <c r="AI3" s="671" t="s">
        <v>1428</v>
      </c>
      <c r="AM3" s="476" t="s">
        <v>809</v>
      </c>
      <c r="AN3" s="282"/>
      <c r="AO3" s="282"/>
      <c r="AP3" s="685" t="s">
        <v>828</v>
      </c>
      <c r="AQ3" s="685"/>
      <c r="AR3" s="685"/>
      <c r="AS3" s="685"/>
      <c r="AT3" s="685"/>
      <c r="AU3" s="685"/>
      <c r="AV3" s="685"/>
      <c r="AW3" s="685" t="s">
        <v>1177</v>
      </c>
      <c r="AX3" s="685"/>
      <c r="AY3" s="685"/>
      <c r="AZ3" s="685"/>
      <c r="BJ3" s="93"/>
      <c r="CN3" s="93"/>
    </row>
    <row r="4" spans="1:102" ht="25" customHeight="1" thickBot="1" x14ac:dyDescent="0.35">
      <c r="A4" s="300"/>
      <c r="B4" s="301"/>
      <c r="C4" s="302"/>
      <c r="D4" s="302"/>
      <c r="E4" s="302"/>
      <c r="F4" s="302"/>
      <c r="G4" s="302"/>
      <c r="H4" s="302"/>
      <c r="I4" s="302"/>
      <c r="J4" s="302"/>
      <c r="K4" s="302"/>
      <c r="L4" s="302" t="s">
        <v>256</v>
      </c>
      <c r="M4" s="302" t="s">
        <v>735</v>
      </c>
      <c r="N4" s="302" t="s">
        <v>256</v>
      </c>
      <c r="O4" s="302" t="s">
        <v>736</v>
      </c>
      <c r="P4" s="674"/>
      <c r="Q4" s="439" t="s">
        <v>38</v>
      </c>
      <c r="R4" s="439" t="s">
        <v>260</v>
      </c>
      <c r="S4" s="439" t="s">
        <v>261</v>
      </c>
      <c r="T4" s="439" t="s">
        <v>260</v>
      </c>
      <c r="U4" s="439" t="s">
        <v>715</v>
      </c>
      <c r="V4" s="439" t="s">
        <v>716</v>
      </c>
      <c r="W4" s="439" t="s">
        <v>262</v>
      </c>
      <c r="X4" s="439" t="s">
        <v>260</v>
      </c>
      <c r="Y4" s="675"/>
      <c r="Z4" s="675"/>
      <c r="AA4" s="676"/>
      <c r="AB4" s="674"/>
      <c r="AC4" s="674"/>
      <c r="AD4" s="674"/>
      <c r="AE4" s="674"/>
      <c r="AF4" s="674"/>
      <c r="AG4" s="439"/>
      <c r="AH4" s="477" t="s">
        <v>37</v>
      </c>
      <c r="AI4" s="682"/>
      <c r="AM4" s="638"/>
      <c r="AN4" s="638"/>
      <c r="AO4" s="282"/>
      <c r="AP4" s="365" t="s">
        <v>1415</v>
      </c>
      <c r="AQ4" s="365" t="s">
        <v>824</v>
      </c>
      <c r="AR4" s="365" t="s">
        <v>831</v>
      </c>
      <c r="AS4" s="144" t="s">
        <v>825</v>
      </c>
      <c r="AT4" s="144" t="s">
        <v>827</v>
      </c>
      <c r="AU4" s="144" t="s">
        <v>826</v>
      </c>
      <c r="AV4" s="365" t="s">
        <v>833</v>
      </c>
      <c r="AW4" s="365" t="s">
        <v>1179</v>
      </c>
      <c r="AX4" s="365" t="s">
        <v>1178</v>
      </c>
      <c r="AY4" s="365" t="s">
        <v>826</v>
      </c>
      <c r="AZ4" s="365" t="s">
        <v>834</v>
      </c>
      <c r="BA4" s="359"/>
      <c r="BB4" s="359"/>
      <c r="BC4" s="359"/>
      <c r="BD4" s="359"/>
      <c r="BE4" s="359"/>
      <c r="BF4" s="359"/>
      <c r="BG4" s="359"/>
      <c r="BH4" s="359"/>
      <c r="BI4" s="359"/>
      <c r="BJ4" s="359"/>
      <c r="BK4" s="359"/>
      <c r="BL4" s="359"/>
      <c r="BM4" s="359"/>
      <c r="BN4" s="359"/>
      <c r="BO4" s="359"/>
      <c r="BP4" s="359"/>
      <c r="BQ4" s="359"/>
      <c r="BR4" s="359"/>
      <c r="BS4" s="359"/>
      <c r="BT4" s="359"/>
      <c r="BU4" s="359"/>
      <c r="BV4" s="359"/>
      <c r="BW4" s="359"/>
      <c r="BX4" s="359"/>
      <c r="BY4" s="359"/>
      <c r="BZ4" s="359"/>
      <c r="CA4" s="359"/>
      <c r="CB4" s="359"/>
      <c r="CC4" s="359"/>
      <c r="CD4" s="359"/>
      <c r="CE4" s="359"/>
      <c r="CF4" s="359"/>
      <c r="CG4" s="359"/>
      <c r="CH4" s="359"/>
      <c r="CI4" s="359"/>
      <c r="CJ4" s="359"/>
      <c r="CK4" s="359"/>
      <c r="CL4" s="359"/>
      <c r="CM4" s="359"/>
      <c r="CN4" s="359"/>
      <c r="CO4" s="359"/>
      <c r="CP4" s="359"/>
      <c r="CQ4" s="359"/>
      <c r="CR4" s="359"/>
      <c r="CS4" s="359"/>
      <c r="CT4" s="359"/>
      <c r="CU4" s="359"/>
      <c r="CV4" s="359"/>
      <c r="CW4" s="359"/>
      <c r="CX4" s="359"/>
    </row>
    <row r="5" spans="1:102" ht="35" customHeight="1" thickTop="1" x14ac:dyDescent="0.3">
      <c r="A5" s="312" t="s">
        <v>1286</v>
      </c>
      <c r="B5" s="442" t="s">
        <v>1287</v>
      </c>
      <c r="C5" s="313" t="s">
        <v>67</v>
      </c>
      <c r="D5" s="313" t="s">
        <v>150</v>
      </c>
      <c r="E5" s="313" t="s">
        <v>150</v>
      </c>
      <c r="F5" s="313" t="s">
        <v>11</v>
      </c>
      <c r="G5" s="313" t="s">
        <v>722</v>
      </c>
      <c r="H5" s="318" t="s">
        <v>1175</v>
      </c>
      <c r="I5" s="318" t="s">
        <v>1119</v>
      </c>
      <c r="J5" s="318" t="s">
        <v>1175</v>
      </c>
      <c r="K5" s="318" t="s">
        <v>1119</v>
      </c>
      <c r="L5" s="313" t="s">
        <v>194</v>
      </c>
      <c r="M5" s="320">
        <v>100</v>
      </c>
      <c r="N5" s="313" t="s">
        <v>194</v>
      </c>
      <c r="O5" s="313">
        <v>40</v>
      </c>
      <c r="P5" s="313">
        <f>'GRC and TUL Assumptions'!E92</f>
        <v>60</v>
      </c>
      <c r="Q5" s="313">
        <v>2014</v>
      </c>
      <c r="R5" s="313" t="s">
        <v>800</v>
      </c>
      <c r="S5" s="313">
        <f>Q5</f>
        <v>2014</v>
      </c>
      <c r="T5" s="313" t="str">
        <f>R5</f>
        <v>Estimated</v>
      </c>
      <c r="U5" s="313"/>
      <c r="V5" s="313"/>
      <c r="W5" s="444">
        <f>AQ5</f>
        <v>983128.31487570948</v>
      </c>
      <c r="X5" s="314" t="s">
        <v>800</v>
      </c>
      <c r="Y5" s="316">
        <f>AU5</f>
        <v>131083.77531676125</v>
      </c>
      <c r="Z5" s="444">
        <f>W5-Y5</f>
        <v>852044.53955894825</v>
      </c>
      <c r="AA5" s="316">
        <f>AV5</f>
        <v>16385.471914595157</v>
      </c>
      <c r="AB5" s="444">
        <f>Z5-AA5</f>
        <v>835659.06764435314</v>
      </c>
      <c r="AC5" s="317">
        <f>HLOOKUP($C$1,'Inflation Adjustments'!$BI$3:$BT$4,2)*AP5</f>
        <v>1865964.8437499998</v>
      </c>
      <c r="AD5" s="317">
        <f>IF(AI5="In Service",AC5*'Maintenace Cost Assumptions'!$B$12,0)</f>
        <v>18659.648437499996</v>
      </c>
      <c r="AE5" s="318">
        <v>3</v>
      </c>
      <c r="AF5" s="318">
        <v>4</v>
      </c>
      <c r="AG5" s="314"/>
      <c r="AH5" s="332">
        <f>(AE5*'Condition rating weights'!H$88+AF5*'Condition rating weights'!R$88+AG5*'Condition rating weights'!S$88)/100</f>
        <v>0.68</v>
      </c>
      <c r="AI5" s="454" t="s">
        <v>1430</v>
      </c>
      <c r="AM5" s="329"/>
      <c r="AN5" s="497"/>
      <c r="AO5" s="282" t="str">
        <f t="shared" ref="AO5" si="0">A5</f>
        <v>BHFM-001</v>
      </c>
      <c r="AP5" s="480">
        <v>1250000</v>
      </c>
      <c r="AQ5" s="353">
        <f>HLOOKUP(S5,'Inflation Adjustments'!B3:BT4,2,FALSE)*AP5</f>
        <v>983128.31487570948</v>
      </c>
      <c r="AR5" s="384">
        <f t="shared" ref="AR5" si="1">$C$1-S5-1</f>
        <v>8</v>
      </c>
      <c r="AS5" s="144">
        <f t="shared" ref="AS5" si="2">P5</f>
        <v>60</v>
      </c>
      <c r="AT5" s="384">
        <f>AQ5/AS5</f>
        <v>16385.471914595157</v>
      </c>
      <c r="AU5" s="351">
        <f>IF(AR5*$AT5&gt;AQ5,AQ5,AR5*$AT5)</f>
        <v>131083.77531676125</v>
      </c>
      <c r="AV5" s="355">
        <f>IF(AT5&lt;(AQ5-AU5),AT5,(AQ5-AU5))</f>
        <v>16385.471914595157</v>
      </c>
      <c r="AW5" s="481">
        <v>0</v>
      </c>
      <c r="AX5" s="282"/>
      <c r="AY5" s="482">
        <v>0</v>
      </c>
      <c r="AZ5" s="482">
        <v>0</v>
      </c>
      <c r="BA5" s="340"/>
      <c r="BB5" s="340"/>
      <c r="BC5" s="340"/>
      <c r="BD5" s="341"/>
      <c r="BE5" s="341"/>
      <c r="BF5" s="341"/>
      <c r="BG5" s="341"/>
      <c r="BH5" s="341"/>
      <c r="BI5" s="341"/>
      <c r="BJ5" s="448"/>
      <c r="BK5" s="93"/>
      <c r="BL5" s="448"/>
      <c r="BM5" s="448"/>
      <c r="BN5" s="448"/>
      <c r="BO5" s="449"/>
      <c r="BP5" s="340"/>
      <c r="BQ5" s="340"/>
      <c r="BR5" s="340"/>
      <c r="BS5" s="340"/>
      <c r="BT5" s="449"/>
      <c r="BU5" s="340"/>
      <c r="BV5" s="340"/>
      <c r="BW5" s="340"/>
      <c r="BX5" s="341"/>
      <c r="BY5" s="449"/>
      <c r="BZ5" s="340"/>
      <c r="CA5" s="340"/>
      <c r="CB5" s="340"/>
      <c r="CC5" s="341"/>
      <c r="CD5" s="449"/>
      <c r="CE5" s="449"/>
      <c r="CF5" s="341"/>
      <c r="CG5" s="449"/>
      <c r="CH5" s="341"/>
      <c r="CI5" s="450"/>
      <c r="CJ5" s="450"/>
      <c r="CK5" s="340"/>
      <c r="CL5" s="450"/>
      <c r="CM5" s="341"/>
      <c r="CO5" s="450"/>
      <c r="CP5" s="450"/>
      <c r="CQ5" s="340"/>
      <c r="CR5" s="450"/>
      <c r="CS5" s="341"/>
      <c r="CT5" s="450"/>
      <c r="CU5" s="450"/>
      <c r="CV5" s="449"/>
      <c r="CW5" s="449"/>
      <c r="CX5" s="450"/>
    </row>
    <row r="6" spans="1:102" ht="42" customHeight="1" x14ac:dyDescent="0.3">
      <c r="A6" s="330"/>
      <c r="B6" s="451"/>
      <c r="C6" s="318"/>
      <c r="D6" s="318"/>
      <c r="E6" s="318"/>
      <c r="F6" s="318"/>
      <c r="G6" s="318"/>
      <c r="H6" s="318"/>
      <c r="I6" s="318"/>
      <c r="J6" s="318"/>
      <c r="K6" s="318"/>
      <c r="L6" s="318"/>
      <c r="M6" s="333"/>
      <c r="N6" s="318"/>
      <c r="O6" s="318"/>
      <c r="P6" s="318"/>
      <c r="Q6" s="318"/>
      <c r="R6" s="318"/>
      <c r="S6" s="318"/>
      <c r="T6" s="318"/>
      <c r="U6" s="318"/>
      <c r="V6" s="318"/>
      <c r="W6" s="452"/>
      <c r="X6" s="318"/>
      <c r="Y6" s="317"/>
      <c r="Z6" s="452"/>
      <c r="AA6" s="317"/>
      <c r="AB6" s="452"/>
      <c r="AC6" s="317">
        <f>HLOOKUP($C$1,'Inflation Adjustments'!$BI$3:$BT$4,2)*AP6</f>
        <v>0</v>
      </c>
      <c r="AD6" s="317">
        <f>IF(AI6="In Service",AC6*'Maintenace Cost Assumptions'!$B$12,0)</f>
        <v>0</v>
      </c>
      <c r="AE6" s="318"/>
      <c r="AF6" s="318"/>
      <c r="AG6" s="318"/>
      <c r="AH6" s="318"/>
      <c r="AI6" s="454"/>
      <c r="AO6" s="282"/>
      <c r="AP6" s="480"/>
      <c r="AQ6" s="353"/>
      <c r="AR6" s="384"/>
      <c r="AS6" s="144"/>
      <c r="AT6" s="384"/>
      <c r="AU6" s="351"/>
      <c r="AV6" s="355"/>
      <c r="AW6" s="481"/>
      <c r="AX6" s="282"/>
      <c r="AY6" s="482"/>
      <c r="AZ6" s="482"/>
      <c r="BA6" s="340"/>
      <c r="BB6" s="340"/>
      <c r="BC6" s="340"/>
      <c r="BD6" s="341"/>
      <c r="BE6" s="341"/>
      <c r="BF6" s="341"/>
      <c r="BG6" s="341"/>
      <c r="BH6" s="341"/>
      <c r="BI6" s="341"/>
      <c r="BJ6" s="448"/>
      <c r="BK6" s="93"/>
      <c r="BL6" s="448"/>
      <c r="BM6" s="448"/>
      <c r="BN6" s="448"/>
      <c r="BO6" s="449"/>
      <c r="BP6" s="340"/>
      <c r="BQ6" s="340"/>
      <c r="BR6" s="340"/>
      <c r="BS6" s="340"/>
      <c r="BT6" s="449"/>
      <c r="BU6" s="340"/>
      <c r="BV6" s="340"/>
      <c r="BW6" s="340"/>
      <c r="BX6" s="341"/>
      <c r="BY6" s="449"/>
      <c r="BZ6" s="340"/>
      <c r="CA6" s="340"/>
      <c r="CB6" s="340"/>
      <c r="CC6" s="341"/>
      <c r="CD6" s="449"/>
      <c r="CE6" s="449"/>
      <c r="CF6" s="341"/>
      <c r="CG6" s="449"/>
      <c r="CH6" s="341"/>
      <c r="CI6" s="450"/>
      <c r="CJ6" s="450"/>
      <c r="CK6" s="340"/>
      <c r="CL6" s="450"/>
      <c r="CM6" s="341"/>
      <c r="CO6" s="450"/>
      <c r="CP6" s="450"/>
      <c r="CQ6" s="340"/>
      <c r="CR6" s="450"/>
      <c r="CS6" s="341"/>
      <c r="CT6" s="450"/>
      <c r="CU6" s="450"/>
      <c r="CV6" s="449"/>
      <c r="CW6" s="449"/>
      <c r="CX6" s="450"/>
    </row>
    <row r="7" spans="1:102" ht="48.5" customHeight="1" x14ac:dyDescent="0.3">
      <c r="A7" s="330"/>
      <c r="B7" s="451"/>
      <c r="C7" s="318"/>
      <c r="D7" s="318"/>
      <c r="E7" s="318"/>
      <c r="F7" s="318"/>
      <c r="G7" s="318"/>
      <c r="H7" s="318"/>
      <c r="I7" s="318"/>
      <c r="J7" s="318"/>
      <c r="K7" s="318"/>
      <c r="L7" s="318"/>
      <c r="M7" s="333"/>
      <c r="N7" s="318"/>
      <c r="O7" s="318"/>
      <c r="P7" s="318"/>
      <c r="Q7" s="318"/>
      <c r="R7" s="318"/>
      <c r="S7" s="318"/>
      <c r="T7" s="318"/>
      <c r="U7" s="318"/>
      <c r="V7" s="318"/>
      <c r="W7" s="452"/>
      <c r="X7" s="318"/>
      <c r="Y7" s="317"/>
      <c r="Z7" s="452"/>
      <c r="AA7" s="317"/>
      <c r="AB7" s="452"/>
      <c r="AC7" s="317">
        <f>HLOOKUP($C$1,'Inflation Adjustments'!$BI$3:$BT$4,2)*AP7</f>
        <v>0</v>
      </c>
      <c r="AD7" s="317">
        <f>IF(AI7="In Service",AC7*'Maintenace Cost Assumptions'!$B$12,0)</f>
        <v>0</v>
      </c>
      <c r="AE7" s="318"/>
      <c r="AF7" s="318"/>
      <c r="AG7" s="318"/>
      <c r="AH7" s="318"/>
      <c r="AI7" s="454"/>
      <c r="AO7" s="282"/>
      <c r="AP7" s="480"/>
      <c r="AQ7" s="353"/>
      <c r="AR7" s="384"/>
      <c r="AS7" s="144"/>
      <c r="AT7" s="384"/>
      <c r="AU7" s="351"/>
      <c r="AV7" s="355"/>
      <c r="AW7" s="481"/>
      <c r="AX7" s="282"/>
      <c r="AY7" s="482"/>
      <c r="AZ7" s="482"/>
      <c r="BA7" s="340"/>
      <c r="BB7" s="340"/>
      <c r="BC7" s="340"/>
      <c r="BD7" s="341"/>
      <c r="BE7" s="341"/>
      <c r="BF7" s="341"/>
      <c r="BG7" s="341"/>
      <c r="BH7" s="341"/>
      <c r="BI7" s="341"/>
      <c r="BJ7" s="448"/>
      <c r="BK7" s="93"/>
      <c r="BL7" s="448"/>
      <c r="BM7" s="448"/>
      <c r="BN7" s="448"/>
      <c r="BO7" s="449"/>
      <c r="BP7" s="340"/>
      <c r="BQ7" s="340"/>
      <c r="BR7" s="340"/>
      <c r="BS7" s="340"/>
      <c r="BT7" s="449"/>
      <c r="BU7" s="340"/>
      <c r="BV7" s="340"/>
      <c r="BW7" s="340"/>
      <c r="BX7" s="341"/>
      <c r="BY7" s="449"/>
      <c r="BZ7" s="340"/>
      <c r="CA7" s="340"/>
      <c r="CB7" s="340"/>
      <c r="CC7" s="341"/>
      <c r="CD7" s="449"/>
      <c r="CE7" s="449"/>
      <c r="CF7" s="341"/>
      <c r="CG7" s="449"/>
      <c r="CH7" s="341"/>
      <c r="CI7" s="450"/>
      <c r="CJ7" s="450"/>
      <c r="CK7" s="340"/>
      <c r="CL7" s="450"/>
      <c r="CM7" s="341"/>
      <c r="CO7" s="450"/>
      <c r="CP7" s="450"/>
      <c r="CQ7" s="340"/>
      <c r="CR7" s="450"/>
      <c r="CS7" s="341"/>
      <c r="CT7" s="450"/>
      <c r="CU7" s="450"/>
      <c r="CV7" s="449"/>
      <c r="CW7" s="449"/>
      <c r="CX7" s="450"/>
    </row>
    <row r="8" spans="1:102" ht="50" customHeight="1" x14ac:dyDescent="0.3">
      <c r="A8" s="330"/>
      <c r="B8" s="451"/>
      <c r="C8" s="318"/>
      <c r="D8" s="318"/>
      <c r="E8" s="318"/>
      <c r="F8" s="318"/>
      <c r="G8" s="318"/>
      <c r="H8" s="318"/>
      <c r="I8" s="318"/>
      <c r="J8" s="318"/>
      <c r="K8" s="318"/>
      <c r="L8" s="318"/>
      <c r="M8" s="333"/>
      <c r="N8" s="318"/>
      <c r="O8" s="318"/>
      <c r="P8" s="318"/>
      <c r="Q8" s="318"/>
      <c r="R8" s="318"/>
      <c r="S8" s="318"/>
      <c r="T8" s="318"/>
      <c r="U8" s="318"/>
      <c r="V8" s="318"/>
      <c r="W8" s="452"/>
      <c r="X8" s="318"/>
      <c r="Y8" s="317"/>
      <c r="Z8" s="452"/>
      <c r="AA8" s="317"/>
      <c r="AB8" s="452"/>
      <c r="AC8" s="317">
        <f>HLOOKUP($C$1,'Inflation Adjustments'!$BI$3:$BT$4,2)*AP8</f>
        <v>0</v>
      </c>
      <c r="AD8" s="317">
        <f>IF(AI8="In Service",AC8*'Maintenace Cost Assumptions'!$B$12,0)</f>
        <v>0</v>
      </c>
      <c r="AE8" s="318"/>
      <c r="AF8" s="318"/>
      <c r="AG8" s="318"/>
      <c r="AH8" s="318"/>
      <c r="AI8" s="454"/>
      <c r="AO8" s="282"/>
      <c r="AP8" s="480"/>
      <c r="AQ8" s="353"/>
      <c r="AR8" s="384"/>
      <c r="AS8" s="144"/>
      <c r="AT8" s="384"/>
      <c r="AU8" s="351"/>
      <c r="AV8" s="355"/>
      <c r="AW8" s="481"/>
      <c r="AX8" s="282"/>
      <c r="AY8" s="482"/>
      <c r="AZ8" s="482"/>
      <c r="BA8" s="340"/>
      <c r="BB8" s="340"/>
      <c r="BC8" s="340"/>
      <c r="BD8" s="341"/>
      <c r="BE8" s="341"/>
      <c r="BF8" s="341"/>
      <c r="BG8" s="341"/>
      <c r="BH8" s="341"/>
      <c r="BI8" s="341"/>
      <c r="BJ8" s="448"/>
      <c r="BK8" s="93"/>
      <c r="BL8" s="448"/>
      <c r="BM8" s="448"/>
      <c r="BN8" s="448"/>
      <c r="BO8" s="449"/>
      <c r="BP8" s="340"/>
      <c r="BQ8" s="340"/>
      <c r="BR8" s="340"/>
      <c r="BS8" s="340"/>
      <c r="BT8" s="449"/>
      <c r="BU8" s="340"/>
      <c r="BV8" s="340"/>
      <c r="BW8" s="340"/>
      <c r="BX8" s="341"/>
      <c r="BY8" s="449"/>
      <c r="BZ8" s="340"/>
      <c r="CA8" s="340"/>
      <c r="CB8" s="340"/>
      <c r="CC8" s="341"/>
      <c r="CD8" s="449"/>
      <c r="CE8" s="449"/>
      <c r="CF8" s="341"/>
      <c r="CG8" s="449"/>
      <c r="CH8" s="341"/>
      <c r="CI8" s="450"/>
      <c r="CJ8" s="450"/>
      <c r="CK8" s="340"/>
      <c r="CL8" s="450"/>
      <c r="CM8" s="341"/>
      <c r="CO8" s="450"/>
      <c r="CP8" s="450"/>
      <c r="CQ8" s="340"/>
      <c r="CR8" s="450"/>
      <c r="CS8" s="341"/>
      <c r="CT8" s="450"/>
      <c r="CU8" s="450"/>
      <c r="CV8" s="449"/>
      <c r="CW8" s="449"/>
      <c r="CX8" s="450"/>
    </row>
    <row r="9" spans="1:102" ht="58.5" customHeight="1" x14ac:dyDescent="0.3">
      <c r="A9" s="330"/>
      <c r="B9" s="451"/>
      <c r="C9" s="318"/>
      <c r="D9" s="318"/>
      <c r="E9" s="318"/>
      <c r="F9" s="318"/>
      <c r="G9" s="318"/>
      <c r="H9" s="318"/>
      <c r="I9" s="318"/>
      <c r="J9" s="318"/>
      <c r="K9" s="318"/>
      <c r="L9" s="318"/>
      <c r="M9" s="333"/>
      <c r="N9" s="318"/>
      <c r="O9" s="318"/>
      <c r="P9" s="318"/>
      <c r="Q9" s="318"/>
      <c r="R9" s="318"/>
      <c r="S9" s="318"/>
      <c r="T9" s="318"/>
      <c r="U9" s="318"/>
      <c r="V9" s="318"/>
      <c r="W9" s="452"/>
      <c r="X9" s="318"/>
      <c r="Y9" s="413"/>
      <c r="Z9" s="458"/>
      <c r="AA9" s="413"/>
      <c r="AB9" s="458"/>
      <c r="AC9" s="317">
        <f>HLOOKUP($C$1,'Inflation Adjustments'!$BI$3:$BT$4,2)*AP9</f>
        <v>0</v>
      </c>
      <c r="AD9" s="317">
        <f>IF(AI9="In Service",AC9*'Maintenace Cost Assumptions'!$B$12,0)</f>
        <v>0</v>
      </c>
      <c r="AE9" s="318"/>
      <c r="AF9" s="318"/>
      <c r="AG9" s="318"/>
      <c r="AH9" s="318"/>
      <c r="AI9" s="454"/>
      <c r="AO9" s="282"/>
      <c r="AP9" s="480"/>
      <c r="AQ9" s="353"/>
      <c r="AR9" s="384"/>
      <c r="AS9" s="144"/>
      <c r="AT9" s="384"/>
      <c r="AU9" s="351"/>
      <c r="AV9" s="355"/>
      <c r="AW9" s="481"/>
      <c r="AX9" s="282"/>
      <c r="AY9" s="482"/>
      <c r="AZ9" s="482"/>
      <c r="BA9" s="340"/>
      <c r="BB9" s="340"/>
      <c r="BC9" s="340"/>
      <c r="BD9" s="341"/>
      <c r="BE9" s="341"/>
      <c r="BF9" s="341"/>
      <c r="BG9" s="341"/>
      <c r="BH9" s="341"/>
      <c r="BI9" s="341"/>
      <c r="BJ9" s="448"/>
      <c r="BK9" s="93"/>
      <c r="BL9" s="448"/>
      <c r="BM9" s="448"/>
      <c r="BN9" s="448"/>
      <c r="BO9" s="449"/>
      <c r="BP9" s="340"/>
      <c r="BQ9" s="340"/>
      <c r="BR9" s="340"/>
      <c r="BS9" s="340"/>
      <c r="BT9" s="449"/>
      <c r="BU9" s="340"/>
      <c r="BV9" s="340"/>
      <c r="BW9" s="340"/>
      <c r="BX9" s="341"/>
      <c r="BY9" s="449"/>
      <c r="BZ9" s="340"/>
      <c r="CA9" s="340"/>
      <c r="CB9" s="340"/>
      <c r="CC9" s="341"/>
      <c r="CD9" s="449"/>
      <c r="CE9" s="449"/>
      <c r="CF9" s="341"/>
      <c r="CG9" s="449"/>
      <c r="CH9" s="341"/>
      <c r="CI9" s="450"/>
      <c r="CJ9" s="450"/>
      <c r="CK9" s="340"/>
      <c r="CL9" s="450"/>
      <c r="CM9" s="341"/>
      <c r="CO9" s="450"/>
      <c r="CP9" s="450"/>
      <c r="CQ9" s="340"/>
      <c r="CR9" s="450"/>
      <c r="CS9" s="341"/>
      <c r="CT9" s="450"/>
      <c r="CU9" s="450"/>
      <c r="CV9" s="449"/>
      <c r="CW9" s="449"/>
      <c r="CX9" s="450"/>
    </row>
    <row r="10" spans="1:102" ht="30" customHeight="1" x14ac:dyDescent="0.3">
      <c r="A10" s="282"/>
      <c r="B10" s="282"/>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Z10" s="340"/>
      <c r="BA10" s="340"/>
      <c r="BB10" s="340"/>
      <c r="BC10" s="340"/>
      <c r="BD10" s="341"/>
      <c r="BE10" s="341"/>
      <c r="BF10" s="341"/>
      <c r="BG10" s="341"/>
      <c r="BH10" s="341"/>
      <c r="BI10" s="341"/>
      <c r="BJ10" s="448"/>
      <c r="BK10" s="93"/>
      <c r="BL10" s="448"/>
      <c r="BM10" s="448"/>
      <c r="BN10" s="448"/>
      <c r="BO10" s="449"/>
      <c r="BP10" s="340"/>
      <c r="BQ10" s="340"/>
      <c r="BR10" s="340"/>
      <c r="BS10" s="340"/>
      <c r="BT10" s="449"/>
      <c r="BU10" s="340"/>
      <c r="BV10" s="340"/>
      <c r="BW10" s="340"/>
      <c r="BX10" s="341"/>
      <c r="BY10" s="449"/>
      <c r="BZ10" s="340"/>
      <c r="CA10" s="340"/>
      <c r="CB10" s="340"/>
      <c r="CC10" s="341"/>
      <c r="CD10" s="449"/>
      <c r="CE10" s="449"/>
      <c r="CF10" s="341"/>
      <c r="CG10" s="449"/>
      <c r="CH10" s="341"/>
      <c r="CI10" s="450"/>
      <c r="CJ10" s="450"/>
      <c r="CK10" s="340"/>
      <c r="CL10" s="450"/>
      <c r="CM10" s="341"/>
      <c r="CO10" s="450"/>
      <c r="CP10" s="450"/>
      <c r="CQ10" s="340"/>
      <c r="CR10" s="450"/>
      <c r="CS10" s="341"/>
      <c r="CT10" s="450"/>
      <c r="CU10" s="450"/>
      <c r="CV10" s="449"/>
      <c r="CW10" s="449"/>
      <c r="CX10" s="450"/>
    </row>
    <row r="11" spans="1:102" ht="30" customHeight="1" x14ac:dyDescent="0.3">
      <c r="A11" s="282"/>
      <c r="B11" s="282"/>
      <c r="C11" s="282"/>
      <c r="D11" s="282"/>
      <c r="E11" s="282"/>
      <c r="F11" s="282"/>
      <c r="G11" s="282"/>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Q11" s="447"/>
      <c r="AR11" s="447"/>
      <c r="AS11" s="447"/>
      <c r="AU11" s="447"/>
      <c r="AV11" s="447"/>
      <c r="AW11" s="447"/>
      <c r="AZ11" s="340"/>
      <c r="BA11" s="340"/>
      <c r="BB11" s="340"/>
      <c r="BC11" s="340"/>
      <c r="BD11" s="341"/>
      <c r="BE11" s="341"/>
      <c r="BF11" s="341"/>
      <c r="BG11" s="341"/>
      <c r="BH11" s="341"/>
      <c r="BI11" s="341"/>
      <c r="BJ11" s="448"/>
      <c r="BK11" s="93"/>
      <c r="BL11" s="448"/>
      <c r="BM11" s="448"/>
      <c r="BN11" s="448"/>
      <c r="BO11" s="449"/>
      <c r="BP11" s="340"/>
      <c r="BQ11" s="340"/>
      <c r="BR11" s="340"/>
      <c r="BS11" s="340"/>
      <c r="BT11" s="449"/>
      <c r="BU11" s="340"/>
      <c r="BV11" s="340"/>
      <c r="BW11" s="340"/>
      <c r="BX11" s="341"/>
      <c r="BY11" s="449"/>
      <c r="BZ11" s="340"/>
      <c r="CA11" s="340"/>
      <c r="CB11" s="340"/>
      <c r="CC11" s="341"/>
      <c r="CD11" s="449"/>
      <c r="CE11" s="449"/>
      <c r="CF11" s="341"/>
      <c r="CG11" s="449"/>
      <c r="CH11" s="341"/>
      <c r="CI11" s="450"/>
      <c r="CJ11" s="450"/>
      <c r="CK11" s="340"/>
      <c r="CL11" s="450"/>
      <c r="CM11" s="341"/>
      <c r="CO11" s="450"/>
      <c r="CP11" s="450"/>
      <c r="CQ11" s="340"/>
      <c r="CR11" s="450"/>
      <c r="CS11" s="341"/>
      <c r="CT11" s="450"/>
      <c r="CU11" s="450"/>
      <c r="CV11" s="449"/>
      <c r="CW11" s="449"/>
      <c r="CX11" s="450"/>
    </row>
    <row r="12" spans="1:102" ht="30" customHeight="1" x14ac:dyDescent="0.3">
      <c r="A12" s="282"/>
      <c r="B12" s="282"/>
      <c r="C12" s="282"/>
      <c r="D12" s="282"/>
      <c r="E12" s="282"/>
      <c r="F12" s="282"/>
      <c r="G12" s="282"/>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U12" s="447"/>
      <c r="AV12" s="447"/>
      <c r="AW12" s="447"/>
      <c r="AZ12" s="340"/>
      <c r="BA12" s="340"/>
      <c r="BB12" s="340"/>
      <c r="BC12" s="340"/>
      <c r="BD12" s="341"/>
      <c r="BE12" s="341"/>
      <c r="BF12" s="341"/>
      <c r="BG12" s="341"/>
      <c r="BH12" s="341"/>
      <c r="BI12" s="341"/>
      <c r="BJ12" s="448"/>
      <c r="BK12" s="93"/>
      <c r="BL12" s="448"/>
      <c r="BM12" s="448"/>
      <c r="BN12" s="448"/>
      <c r="BO12" s="449"/>
      <c r="BP12" s="340"/>
      <c r="BQ12" s="340"/>
      <c r="BR12" s="340"/>
      <c r="BS12" s="340"/>
      <c r="BT12" s="449"/>
      <c r="BU12" s="340"/>
      <c r="BV12" s="340"/>
      <c r="BW12" s="340"/>
      <c r="BX12" s="341"/>
      <c r="BY12" s="449"/>
      <c r="BZ12" s="340"/>
      <c r="CA12" s="340"/>
      <c r="CB12" s="340"/>
      <c r="CC12" s="341"/>
      <c r="CD12" s="449"/>
      <c r="CE12" s="449"/>
      <c r="CF12" s="341"/>
      <c r="CG12" s="449"/>
      <c r="CH12" s="341"/>
      <c r="CI12" s="450"/>
      <c r="CJ12" s="450"/>
      <c r="CK12" s="340"/>
      <c r="CL12" s="450"/>
      <c r="CM12" s="341"/>
      <c r="CO12" s="450"/>
      <c r="CP12" s="450"/>
      <c r="CQ12" s="340"/>
      <c r="CR12" s="450"/>
      <c r="CS12" s="341"/>
      <c r="CT12" s="450"/>
      <c r="CU12" s="450"/>
      <c r="CV12" s="449"/>
      <c r="CW12" s="449"/>
      <c r="CX12" s="450"/>
    </row>
    <row r="13" spans="1:102" ht="30" customHeight="1" x14ac:dyDescent="0.3">
      <c r="A13" s="282"/>
      <c r="B13" s="282"/>
      <c r="C13" s="282"/>
      <c r="D13" s="282"/>
      <c r="E13" s="282"/>
      <c r="F13" s="282"/>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Z13" s="340"/>
      <c r="BA13" s="340"/>
      <c r="BB13" s="340"/>
      <c r="BC13" s="340"/>
      <c r="BD13" s="341"/>
      <c r="BE13" s="341"/>
      <c r="BF13" s="341"/>
      <c r="BG13" s="341"/>
      <c r="BH13" s="341"/>
      <c r="BI13" s="341"/>
      <c r="BJ13" s="448"/>
      <c r="BK13" s="93"/>
      <c r="BL13" s="448"/>
      <c r="BM13" s="448"/>
      <c r="BN13" s="448"/>
      <c r="BO13" s="449"/>
      <c r="BP13" s="340"/>
      <c r="BQ13" s="340"/>
      <c r="BR13" s="340"/>
      <c r="BS13" s="340"/>
      <c r="BT13" s="449"/>
      <c r="BU13" s="340"/>
      <c r="BV13" s="340"/>
      <c r="BW13" s="340"/>
      <c r="BX13" s="341"/>
      <c r="BY13" s="449"/>
      <c r="BZ13" s="340"/>
      <c r="CA13" s="340"/>
      <c r="CB13" s="340"/>
      <c r="CC13" s="341"/>
      <c r="CD13" s="449"/>
      <c r="CE13" s="449"/>
      <c r="CF13" s="341"/>
      <c r="CG13" s="449"/>
      <c r="CH13" s="341"/>
      <c r="CI13" s="450"/>
      <c r="CJ13" s="450"/>
      <c r="CK13" s="340"/>
      <c r="CL13" s="450"/>
      <c r="CM13" s="341"/>
      <c r="CO13" s="450"/>
      <c r="CP13" s="450"/>
      <c r="CQ13" s="340"/>
      <c r="CR13" s="450"/>
      <c r="CS13" s="341"/>
      <c r="CT13" s="450"/>
      <c r="CU13" s="450"/>
      <c r="CV13" s="449"/>
      <c r="CW13" s="449"/>
      <c r="CX13" s="450"/>
    </row>
    <row r="14" spans="1:102" ht="30" customHeight="1" x14ac:dyDescent="0.3">
      <c r="A14" s="282"/>
      <c r="B14" s="282"/>
      <c r="C14" s="282"/>
      <c r="D14" s="282"/>
      <c r="E14" s="282"/>
      <c r="F14" s="282"/>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Z14" s="340"/>
      <c r="BA14" s="340"/>
      <c r="BB14" s="340"/>
      <c r="BC14" s="340"/>
      <c r="BD14" s="341"/>
      <c r="BE14" s="341"/>
      <c r="BF14" s="341"/>
      <c r="BG14" s="341"/>
      <c r="BH14" s="341"/>
      <c r="BI14" s="341"/>
      <c r="BJ14" s="448"/>
      <c r="BK14" s="93"/>
      <c r="BL14" s="448"/>
      <c r="BM14" s="448"/>
      <c r="BN14" s="448"/>
      <c r="BO14" s="449"/>
      <c r="BP14" s="340"/>
      <c r="BQ14" s="340"/>
      <c r="BR14" s="340"/>
      <c r="BS14" s="340"/>
      <c r="BT14" s="449"/>
      <c r="BU14" s="340"/>
      <c r="BV14" s="340"/>
      <c r="BW14" s="340"/>
      <c r="BX14" s="341"/>
      <c r="BY14" s="449"/>
      <c r="BZ14" s="340"/>
      <c r="CA14" s="340"/>
      <c r="CB14" s="340"/>
      <c r="CC14" s="341"/>
      <c r="CD14" s="449"/>
      <c r="CE14" s="449"/>
      <c r="CF14" s="341"/>
      <c r="CG14" s="449"/>
      <c r="CH14" s="341"/>
      <c r="CI14" s="450"/>
      <c r="CJ14" s="450"/>
      <c r="CK14" s="340"/>
      <c r="CL14" s="450"/>
      <c r="CM14" s="341"/>
      <c r="CO14" s="450"/>
      <c r="CP14" s="450"/>
      <c r="CQ14" s="340"/>
      <c r="CR14" s="450"/>
      <c r="CS14" s="341"/>
      <c r="CT14" s="450"/>
      <c r="CU14" s="450"/>
      <c r="CV14" s="449"/>
      <c r="CW14" s="449"/>
      <c r="CX14" s="450"/>
    </row>
    <row r="15" spans="1:102" ht="30" customHeight="1" x14ac:dyDescent="0.3">
      <c r="A15" s="282"/>
      <c r="B15" s="282"/>
      <c r="C15" s="282"/>
      <c r="D15" s="282"/>
      <c r="E15" s="282"/>
      <c r="F15" s="282"/>
      <c r="G15" s="282"/>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S15" s="290"/>
      <c r="AZ15" s="340"/>
      <c r="BA15" s="340"/>
      <c r="BB15" s="340"/>
      <c r="BC15" s="340"/>
      <c r="BD15" s="341"/>
      <c r="BE15" s="341"/>
      <c r="BF15" s="341"/>
      <c r="BG15" s="341"/>
      <c r="BH15" s="341"/>
      <c r="BI15" s="341"/>
      <c r="BJ15" s="448"/>
      <c r="BK15" s="93"/>
      <c r="BL15" s="448"/>
      <c r="BM15" s="448"/>
      <c r="BN15" s="448"/>
      <c r="BO15" s="449"/>
      <c r="BP15" s="340"/>
      <c r="BQ15" s="340"/>
      <c r="BR15" s="340"/>
      <c r="BS15" s="340"/>
      <c r="BT15" s="449"/>
      <c r="BU15" s="340"/>
      <c r="BV15" s="340"/>
      <c r="BW15" s="340"/>
      <c r="BX15" s="341"/>
      <c r="BY15" s="449"/>
      <c r="BZ15" s="340"/>
      <c r="CA15" s="340"/>
      <c r="CB15" s="340"/>
      <c r="CC15" s="341"/>
      <c r="CD15" s="449"/>
      <c r="CE15" s="449"/>
      <c r="CF15" s="341"/>
      <c r="CG15" s="449"/>
      <c r="CH15" s="341"/>
      <c r="CI15" s="450"/>
      <c r="CJ15" s="450"/>
      <c r="CK15" s="340"/>
      <c r="CL15" s="450"/>
      <c r="CM15" s="341"/>
      <c r="CO15" s="450"/>
      <c r="CP15" s="450"/>
      <c r="CQ15" s="340"/>
      <c r="CR15" s="450"/>
      <c r="CS15" s="341"/>
      <c r="CT15" s="450"/>
      <c r="CU15" s="450"/>
      <c r="CV15" s="449"/>
      <c r="CW15" s="449"/>
      <c r="CX15" s="450"/>
    </row>
    <row r="16" spans="1:102" ht="30" customHeight="1" x14ac:dyDescent="0.3">
      <c r="A16" s="282"/>
      <c r="B16" s="282"/>
      <c r="C16" s="282"/>
      <c r="D16" s="282"/>
      <c r="E16" s="282"/>
      <c r="F16" s="282"/>
      <c r="G16" s="282"/>
      <c r="H16" s="282"/>
      <c r="I16" s="282"/>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282"/>
      <c r="AI16" s="282"/>
      <c r="AZ16" s="340"/>
      <c r="BA16" s="340"/>
      <c r="BB16" s="340"/>
      <c r="BC16" s="340"/>
      <c r="BD16" s="341"/>
      <c r="BE16" s="341"/>
      <c r="BF16" s="341"/>
      <c r="BG16" s="341"/>
      <c r="BH16" s="341"/>
      <c r="BI16" s="341"/>
      <c r="BJ16" s="448"/>
      <c r="BK16" s="93"/>
      <c r="BL16" s="448"/>
      <c r="BM16" s="448"/>
      <c r="BN16" s="448"/>
      <c r="BO16" s="449"/>
      <c r="BP16" s="340"/>
      <c r="BQ16" s="340"/>
      <c r="BR16" s="340"/>
      <c r="BS16" s="340"/>
      <c r="BT16" s="449"/>
      <c r="BU16" s="340"/>
      <c r="BV16" s="340"/>
      <c r="BW16" s="340"/>
      <c r="BX16" s="341"/>
      <c r="BY16" s="449"/>
      <c r="BZ16" s="340"/>
      <c r="CA16" s="340"/>
      <c r="CB16" s="340"/>
      <c r="CC16" s="341"/>
      <c r="CD16" s="449"/>
      <c r="CE16" s="449"/>
      <c r="CF16" s="341"/>
      <c r="CG16" s="449"/>
      <c r="CH16" s="341"/>
      <c r="CI16" s="450"/>
      <c r="CJ16" s="450"/>
      <c r="CK16" s="340"/>
      <c r="CL16" s="450"/>
      <c r="CM16" s="341"/>
      <c r="CO16" s="450"/>
      <c r="CP16" s="450"/>
      <c r="CQ16" s="340"/>
      <c r="CR16" s="450"/>
      <c r="CS16" s="341"/>
      <c r="CT16" s="450"/>
      <c r="CU16" s="450"/>
      <c r="CV16" s="449"/>
      <c r="CW16" s="449"/>
      <c r="CX16" s="450"/>
    </row>
    <row r="17" spans="1:102" ht="30" customHeight="1" x14ac:dyDescent="0.3">
      <c r="A17" s="282"/>
      <c r="B17" s="282"/>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Z17" s="340"/>
      <c r="BA17" s="340"/>
      <c r="BB17" s="340"/>
      <c r="BC17" s="340"/>
      <c r="BD17" s="341"/>
      <c r="BE17" s="341"/>
      <c r="BF17" s="341"/>
      <c r="BG17" s="341"/>
      <c r="BH17" s="341"/>
      <c r="BI17" s="341"/>
      <c r="BJ17" s="448"/>
      <c r="BK17" s="93"/>
      <c r="BL17" s="448"/>
      <c r="BM17" s="448"/>
      <c r="BN17" s="448"/>
      <c r="BO17" s="449"/>
      <c r="BP17" s="340"/>
      <c r="BQ17" s="340"/>
      <c r="BR17" s="340"/>
      <c r="BS17" s="340"/>
      <c r="BT17" s="449"/>
      <c r="BU17" s="340"/>
      <c r="BV17" s="340"/>
      <c r="BW17" s="340"/>
      <c r="BX17" s="341"/>
      <c r="BY17" s="449"/>
      <c r="BZ17" s="340"/>
      <c r="CA17" s="340"/>
      <c r="CB17" s="340"/>
      <c r="CC17" s="341"/>
      <c r="CD17" s="449"/>
      <c r="CE17" s="449"/>
      <c r="CF17" s="341"/>
      <c r="CG17" s="449"/>
      <c r="CH17" s="341"/>
      <c r="CI17" s="450"/>
      <c r="CJ17" s="450"/>
      <c r="CK17" s="340"/>
      <c r="CL17" s="450"/>
      <c r="CM17" s="341"/>
      <c r="CO17" s="450"/>
      <c r="CP17" s="450"/>
      <c r="CQ17" s="340"/>
      <c r="CR17" s="450"/>
      <c r="CS17" s="341"/>
      <c r="CT17" s="450"/>
      <c r="CU17" s="450"/>
      <c r="CV17" s="449"/>
      <c r="CW17" s="449"/>
      <c r="CX17" s="450"/>
    </row>
    <row r="18" spans="1:102" ht="30" customHeight="1" x14ac:dyDescent="0.3">
      <c r="A18" s="282"/>
      <c r="B18" s="282"/>
      <c r="C18" s="282"/>
      <c r="D18" s="282"/>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Z18" s="340"/>
      <c r="BA18" s="340"/>
      <c r="BB18" s="340"/>
      <c r="BC18" s="340"/>
      <c r="BD18" s="341"/>
      <c r="BE18" s="341"/>
      <c r="BF18" s="341"/>
      <c r="BG18" s="341"/>
      <c r="BH18" s="341"/>
      <c r="BI18" s="341"/>
      <c r="BJ18" s="448"/>
      <c r="BK18" s="93"/>
      <c r="BL18" s="448"/>
      <c r="BM18" s="448"/>
      <c r="BN18" s="448"/>
      <c r="BO18" s="449"/>
      <c r="BP18" s="340"/>
      <c r="BQ18" s="340"/>
      <c r="BR18" s="340"/>
      <c r="BS18" s="340"/>
      <c r="BT18" s="449"/>
      <c r="BU18" s="340"/>
      <c r="BV18" s="340"/>
      <c r="BW18" s="340"/>
      <c r="BX18" s="341"/>
      <c r="BY18" s="449"/>
      <c r="BZ18" s="340"/>
      <c r="CA18" s="340"/>
      <c r="CB18" s="340"/>
      <c r="CC18" s="341"/>
      <c r="CD18" s="449"/>
      <c r="CE18" s="449"/>
      <c r="CF18" s="341"/>
      <c r="CG18" s="449"/>
      <c r="CH18" s="341"/>
      <c r="CI18" s="450"/>
      <c r="CJ18" s="450"/>
      <c r="CK18" s="340"/>
      <c r="CL18" s="450"/>
      <c r="CM18" s="341"/>
      <c r="CO18" s="450"/>
      <c r="CP18" s="450"/>
      <c r="CQ18" s="340"/>
      <c r="CR18" s="450"/>
      <c r="CS18" s="341"/>
      <c r="CT18" s="450"/>
      <c r="CU18" s="450"/>
      <c r="CV18" s="449"/>
      <c r="CW18" s="449"/>
      <c r="CX18" s="450"/>
    </row>
    <row r="19" spans="1:102" ht="31" customHeight="1" x14ac:dyDescent="0.3">
      <c r="A19" s="282"/>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Z19" s="340"/>
      <c r="BA19" s="340"/>
      <c r="BB19" s="340"/>
      <c r="BC19" s="340"/>
      <c r="BD19" s="341"/>
      <c r="BE19" s="341"/>
      <c r="BF19" s="341"/>
      <c r="BG19" s="341"/>
      <c r="BH19" s="341"/>
      <c r="BI19" s="341"/>
      <c r="BJ19" s="448"/>
      <c r="BK19" s="93"/>
      <c r="BL19" s="448"/>
      <c r="BM19" s="448"/>
      <c r="BN19" s="448"/>
      <c r="BO19" s="449"/>
      <c r="BP19" s="340"/>
      <c r="BQ19" s="340"/>
      <c r="BR19" s="340"/>
      <c r="BS19" s="340"/>
      <c r="BT19" s="449"/>
      <c r="BU19" s="340"/>
      <c r="BV19" s="340"/>
      <c r="BW19" s="340"/>
      <c r="BX19" s="341"/>
      <c r="BY19" s="449"/>
      <c r="BZ19" s="340"/>
      <c r="CA19" s="340"/>
      <c r="CB19" s="340"/>
      <c r="CC19" s="341"/>
      <c r="CD19" s="449"/>
      <c r="CE19" s="449"/>
      <c r="CF19" s="341"/>
      <c r="CG19" s="449"/>
      <c r="CH19" s="341"/>
      <c r="CI19" s="450"/>
      <c r="CJ19" s="450"/>
      <c r="CK19" s="340"/>
      <c r="CL19" s="450"/>
      <c r="CM19" s="341"/>
      <c r="CO19" s="450"/>
      <c r="CP19" s="450"/>
      <c r="CQ19" s="340"/>
      <c r="CR19" s="450"/>
      <c r="CS19" s="341"/>
      <c r="CT19" s="450"/>
      <c r="CU19" s="450"/>
      <c r="CV19" s="449"/>
      <c r="CW19" s="449"/>
      <c r="CX19" s="450"/>
    </row>
    <row r="20" spans="1:102" ht="39" customHeight="1" x14ac:dyDescent="0.3">
      <c r="A20" s="282"/>
      <c r="B20" s="282"/>
      <c r="C20" s="282"/>
      <c r="D20" s="282"/>
      <c r="E20" s="282"/>
      <c r="F20" s="282"/>
      <c r="G20" s="282"/>
      <c r="H20" s="282"/>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Z20" s="340"/>
      <c r="BA20" s="340"/>
      <c r="BB20" s="340"/>
      <c r="BC20" s="340"/>
      <c r="BD20" s="341"/>
      <c r="BE20" s="341"/>
      <c r="BF20" s="341"/>
      <c r="BG20" s="341"/>
      <c r="BH20" s="341"/>
      <c r="BI20" s="341"/>
      <c r="BJ20" s="448"/>
      <c r="BK20" s="93"/>
      <c r="BL20" s="448"/>
      <c r="BM20" s="448"/>
      <c r="BN20" s="448"/>
      <c r="BO20" s="449"/>
      <c r="BP20" s="340"/>
      <c r="BQ20" s="340"/>
      <c r="BR20" s="340"/>
      <c r="BS20" s="340"/>
      <c r="BT20" s="449"/>
      <c r="BU20" s="340"/>
      <c r="BV20" s="340"/>
      <c r="BW20" s="340"/>
      <c r="BX20" s="341"/>
      <c r="BY20" s="449"/>
      <c r="BZ20" s="340"/>
      <c r="CA20" s="340"/>
      <c r="CB20" s="340"/>
      <c r="CC20" s="341"/>
      <c r="CD20" s="449"/>
      <c r="CE20" s="449"/>
      <c r="CF20" s="341"/>
      <c r="CG20" s="449"/>
      <c r="CH20" s="341"/>
      <c r="CI20" s="450"/>
      <c r="CJ20" s="450"/>
      <c r="CK20" s="340"/>
      <c r="CL20" s="450"/>
      <c r="CM20" s="341"/>
      <c r="CO20" s="450"/>
      <c r="CP20" s="450"/>
      <c r="CQ20" s="340"/>
      <c r="CR20" s="450"/>
      <c r="CS20" s="341"/>
      <c r="CT20" s="450"/>
      <c r="CU20" s="450"/>
      <c r="CV20" s="449"/>
      <c r="CW20" s="449"/>
      <c r="CX20" s="450"/>
    </row>
    <row r="21" spans="1:102" ht="40.5" customHeight="1" x14ac:dyDescent="0.3">
      <c r="A21" s="282"/>
      <c r="B21" s="282"/>
      <c r="C21" s="282"/>
      <c r="D21" s="282"/>
      <c r="E21" s="282"/>
      <c r="F21" s="282"/>
      <c r="G21" s="282"/>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Z21" s="340"/>
      <c r="BA21" s="340"/>
      <c r="BB21" s="340"/>
      <c r="BC21" s="340"/>
      <c r="BD21" s="341"/>
      <c r="BE21" s="341"/>
      <c r="BF21" s="341"/>
      <c r="BG21" s="341"/>
      <c r="BH21" s="341"/>
      <c r="BI21" s="341"/>
      <c r="BJ21" s="448"/>
      <c r="BK21" s="93"/>
      <c r="BL21" s="448"/>
      <c r="BM21" s="448"/>
      <c r="BN21" s="448"/>
      <c r="BO21" s="449"/>
      <c r="BP21" s="340"/>
      <c r="BQ21" s="340"/>
      <c r="BR21" s="340"/>
      <c r="BS21" s="340"/>
      <c r="BT21" s="449"/>
      <c r="BU21" s="340"/>
      <c r="BV21" s="340"/>
      <c r="BW21" s="340"/>
      <c r="BX21" s="341"/>
      <c r="BY21" s="449"/>
      <c r="BZ21" s="340"/>
      <c r="CA21" s="340"/>
      <c r="CB21" s="340"/>
      <c r="CC21" s="341"/>
      <c r="CD21" s="449"/>
      <c r="CE21" s="449"/>
      <c r="CF21" s="341"/>
      <c r="CG21" s="449"/>
      <c r="CH21" s="341"/>
      <c r="CI21" s="450"/>
      <c r="CJ21" s="450"/>
      <c r="CK21" s="340"/>
      <c r="CL21" s="450"/>
      <c r="CM21" s="341"/>
      <c r="CO21" s="450"/>
      <c r="CP21" s="450"/>
      <c r="CQ21" s="340"/>
      <c r="CR21" s="450"/>
      <c r="CS21" s="341"/>
      <c r="CT21" s="450"/>
      <c r="CU21" s="450"/>
      <c r="CV21" s="449"/>
      <c r="CW21" s="449"/>
      <c r="CX21" s="450"/>
    </row>
    <row r="22" spans="1:102" ht="40.5" customHeight="1" x14ac:dyDescent="0.3">
      <c r="A22" s="282"/>
      <c r="B22" s="282"/>
      <c r="C22" s="282"/>
      <c r="D22" s="282"/>
      <c r="E22" s="282"/>
      <c r="F22" s="282"/>
      <c r="G22" s="282"/>
      <c r="H22" s="282"/>
      <c r="I22" s="282"/>
      <c r="J22" s="282"/>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Z22" s="340"/>
      <c r="BA22" s="340"/>
      <c r="BB22" s="340"/>
      <c r="BC22" s="340"/>
      <c r="BD22" s="341"/>
      <c r="BE22" s="341"/>
      <c r="BF22" s="341"/>
      <c r="BG22" s="341"/>
      <c r="BH22" s="341"/>
      <c r="BI22" s="341"/>
      <c r="BJ22" s="448"/>
      <c r="BK22" s="93"/>
      <c r="BL22" s="448"/>
      <c r="BM22" s="448"/>
      <c r="BN22" s="448"/>
      <c r="BO22" s="449"/>
      <c r="BP22" s="340"/>
      <c r="BQ22" s="340"/>
      <c r="BR22" s="340"/>
      <c r="BS22" s="340"/>
      <c r="BT22" s="449"/>
      <c r="BU22" s="340"/>
      <c r="BV22" s="340"/>
      <c r="BW22" s="340"/>
      <c r="BX22" s="341"/>
      <c r="BY22" s="449"/>
      <c r="BZ22" s="340"/>
      <c r="CA22" s="340"/>
      <c r="CB22" s="340"/>
      <c r="CC22" s="341"/>
      <c r="CD22" s="449"/>
      <c r="CE22" s="449"/>
      <c r="CF22" s="341"/>
      <c r="CG22" s="449"/>
      <c r="CH22" s="341"/>
      <c r="CI22" s="450"/>
      <c r="CJ22" s="450"/>
      <c r="CK22" s="340"/>
      <c r="CL22" s="450"/>
      <c r="CM22" s="341"/>
      <c r="CO22" s="450"/>
      <c r="CP22" s="450"/>
      <c r="CQ22" s="340"/>
      <c r="CR22" s="450"/>
      <c r="CS22" s="341"/>
      <c r="CT22" s="450"/>
      <c r="CU22" s="450"/>
      <c r="CV22" s="449"/>
      <c r="CW22" s="449"/>
      <c r="CX22" s="450"/>
    </row>
    <row r="23" spans="1:102" ht="30" customHeight="1" x14ac:dyDescent="0.3">
      <c r="A23" s="282"/>
      <c r="B23" s="282"/>
      <c r="C23" s="282"/>
      <c r="D23" s="282"/>
      <c r="E23" s="282"/>
      <c r="F23" s="282"/>
      <c r="G23" s="282"/>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Z23" s="340"/>
      <c r="BA23" s="340"/>
      <c r="BB23" s="340"/>
      <c r="BC23" s="340"/>
      <c r="BD23" s="341"/>
      <c r="BE23" s="341"/>
      <c r="BF23" s="341"/>
      <c r="BG23" s="341"/>
      <c r="BH23" s="341"/>
      <c r="BI23" s="341"/>
      <c r="BJ23" s="448"/>
      <c r="BK23" s="93"/>
      <c r="BL23" s="448"/>
      <c r="BM23" s="448"/>
      <c r="BN23" s="448"/>
      <c r="BO23" s="449"/>
      <c r="BP23" s="340"/>
      <c r="BQ23" s="340"/>
      <c r="BR23" s="340"/>
      <c r="BS23" s="340"/>
      <c r="BT23" s="449"/>
      <c r="BU23" s="340"/>
      <c r="BV23" s="340"/>
      <c r="BW23" s="340"/>
      <c r="BX23" s="341"/>
      <c r="BY23" s="449"/>
      <c r="BZ23" s="340"/>
      <c r="CA23" s="340"/>
      <c r="CB23" s="340"/>
      <c r="CC23" s="341"/>
      <c r="CD23" s="449"/>
      <c r="CE23" s="449"/>
      <c r="CF23" s="341"/>
      <c r="CG23" s="449"/>
      <c r="CH23" s="341"/>
      <c r="CI23" s="450"/>
      <c r="CJ23" s="450"/>
      <c r="CK23" s="340"/>
      <c r="CL23" s="450"/>
      <c r="CM23" s="341"/>
      <c r="CO23" s="450"/>
      <c r="CP23" s="450"/>
      <c r="CQ23" s="340"/>
      <c r="CR23" s="450"/>
      <c r="CS23" s="341"/>
      <c r="CT23" s="450"/>
      <c r="CU23" s="450"/>
      <c r="CV23" s="449"/>
      <c r="CW23" s="449"/>
      <c r="CX23" s="450"/>
    </row>
    <row r="24" spans="1:102" ht="30" customHeight="1" x14ac:dyDescent="0.3">
      <c r="A24" s="282"/>
      <c r="B24" s="282"/>
      <c r="C24" s="282"/>
      <c r="D24" s="282"/>
      <c r="E24" s="282"/>
      <c r="F24" s="282"/>
      <c r="G24" s="282"/>
      <c r="H24" s="282"/>
      <c r="I24" s="282"/>
      <c r="J24" s="282"/>
      <c r="K24" s="282"/>
      <c r="L24" s="282"/>
      <c r="M24" s="282"/>
      <c r="N24" s="282"/>
      <c r="O24" s="282"/>
      <c r="P24" s="282"/>
      <c r="Q24" s="282"/>
      <c r="R24" s="282"/>
      <c r="S24" s="282"/>
      <c r="T24" s="282"/>
      <c r="U24" s="282"/>
      <c r="V24" s="282"/>
      <c r="W24" s="282"/>
      <c r="X24" s="282"/>
      <c r="Y24" s="282"/>
      <c r="Z24" s="282"/>
      <c r="AA24" s="282"/>
      <c r="AB24" s="282"/>
      <c r="AC24" s="282"/>
      <c r="AD24" s="282"/>
      <c r="AE24" s="282"/>
      <c r="AF24" s="282"/>
      <c r="AG24" s="282"/>
      <c r="AH24" s="282"/>
      <c r="AI24" s="282"/>
      <c r="AZ24" s="340"/>
      <c r="BA24" s="340"/>
      <c r="BB24" s="340"/>
      <c r="BC24" s="340"/>
      <c r="BD24" s="341"/>
      <c r="BE24" s="341"/>
      <c r="BF24" s="341"/>
      <c r="BG24" s="341"/>
      <c r="BH24" s="341"/>
      <c r="BI24" s="341"/>
      <c r="BJ24" s="448"/>
      <c r="BK24" s="93"/>
      <c r="BL24" s="448"/>
      <c r="BM24" s="448"/>
      <c r="BN24" s="448"/>
      <c r="BO24" s="449"/>
      <c r="BP24" s="340"/>
      <c r="BQ24" s="340"/>
      <c r="BR24" s="340"/>
      <c r="BS24" s="340"/>
      <c r="BT24" s="449"/>
      <c r="BU24" s="340"/>
      <c r="BV24" s="340"/>
      <c r="BW24" s="340"/>
      <c r="BX24" s="341"/>
      <c r="BY24" s="449"/>
      <c r="BZ24" s="340"/>
      <c r="CA24" s="340"/>
      <c r="CB24" s="340"/>
      <c r="CC24" s="341"/>
      <c r="CD24" s="449"/>
      <c r="CE24" s="449"/>
      <c r="CF24" s="341"/>
      <c r="CG24" s="449"/>
      <c r="CH24" s="341"/>
      <c r="CI24" s="450"/>
      <c r="CJ24" s="450"/>
      <c r="CK24" s="340"/>
      <c r="CL24" s="450"/>
      <c r="CM24" s="341"/>
      <c r="CO24" s="450"/>
      <c r="CP24" s="450"/>
      <c r="CQ24" s="340"/>
      <c r="CR24" s="450"/>
      <c r="CS24" s="341"/>
      <c r="CT24" s="450"/>
      <c r="CU24" s="450"/>
      <c r="CV24" s="449"/>
      <c r="CW24" s="449"/>
      <c r="CX24" s="450"/>
    </row>
    <row r="25" spans="1:102" ht="30" customHeight="1" x14ac:dyDescent="0.3">
      <c r="A25" s="282"/>
      <c r="B25" s="282"/>
      <c r="C25" s="282"/>
      <c r="D25" s="282"/>
      <c r="E25" s="282"/>
      <c r="F25" s="282"/>
      <c r="G25" s="282"/>
      <c r="H25" s="282"/>
      <c r="I25" s="282"/>
      <c r="J25" s="282"/>
      <c r="K25" s="282"/>
      <c r="L25" s="282"/>
      <c r="M25" s="282"/>
      <c r="N25" s="282"/>
      <c r="O25" s="282"/>
      <c r="P25" s="282"/>
      <c r="Q25" s="282"/>
      <c r="R25" s="282"/>
      <c r="S25" s="282"/>
      <c r="T25" s="282"/>
      <c r="U25" s="282"/>
      <c r="V25" s="282"/>
      <c r="W25" s="282"/>
      <c r="X25" s="282"/>
      <c r="Y25" s="282"/>
      <c r="Z25" s="282"/>
      <c r="AA25" s="282"/>
      <c r="AB25" s="282"/>
      <c r="AC25" s="282"/>
      <c r="AD25" s="282"/>
      <c r="AE25" s="282"/>
      <c r="AF25" s="282"/>
      <c r="AG25" s="282"/>
      <c r="AH25" s="282"/>
      <c r="AI25" s="282"/>
      <c r="AZ25" s="340"/>
      <c r="BA25" s="340"/>
      <c r="BB25" s="340"/>
      <c r="BC25" s="340"/>
      <c r="BD25" s="341"/>
      <c r="BE25" s="341"/>
      <c r="BF25" s="341"/>
      <c r="BG25" s="341"/>
      <c r="BH25" s="341"/>
      <c r="BI25" s="341"/>
      <c r="BJ25" s="448"/>
      <c r="BK25" s="93"/>
      <c r="BL25" s="448"/>
      <c r="BM25" s="448"/>
      <c r="BN25" s="448"/>
      <c r="BO25" s="449"/>
      <c r="BP25" s="340"/>
      <c r="BQ25" s="340"/>
      <c r="BR25" s="340"/>
      <c r="BS25" s="340"/>
      <c r="BT25" s="449"/>
      <c r="BU25" s="340"/>
      <c r="BV25" s="340"/>
      <c r="BW25" s="340"/>
      <c r="BX25" s="341"/>
      <c r="BY25" s="449"/>
      <c r="BZ25" s="340"/>
      <c r="CA25" s="340"/>
      <c r="CB25" s="340"/>
      <c r="CC25" s="341"/>
      <c r="CD25" s="449"/>
      <c r="CE25" s="449"/>
      <c r="CF25" s="341"/>
      <c r="CG25" s="449"/>
      <c r="CH25" s="341"/>
      <c r="CI25" s="450"/>
      <c r="CJ25" s="450"/>
      <c r="CK25" s="340"/>
      <c r="CL25" s="450"/>
      <c r="CM25" s="341"/>
      <c r="CO25" s="450"/>
      <c r="CP25" s="450"/>
      <c r="CQ25" s="340"/>
      <c r="CR25" s="450"/>
      <c r="CS25" s="341"/>
      <c r="CT25" s="450"/>
      <c r="CU25" s="450"/>
      <c r="CV25" s="449"/>
      <c r="CW25" s="449"/>
      <c r="CX25" s="450"/>
    </row>
    <row r="26" spans="1:102" ht="30" customHeight="1" x14ac:dyDescent="0.3">
      <c r="A26" s="282"/>
      <c r="B26" s="282"/>
      <c r="C26" s="282"/>
      <c r="D26" s="282"/>
      <c r="E26" s="282"/>
      <c r="F26" s="282"/>
      <c r="G26" s="282"/>
      <c r="H26" s="282"/>
      <c r="I26" s="282"/>
      <c r="J26" s="282"/>
      <c r="K26" s="282"/>
      <c r="L26" s="282"/>
      <c r="M26" s="282"/>
      <c r="N26" s="282"/>
      <c r="O26" s="282"/>
      <c r="P26" s="282"/>
      <c r="Q26" s="282"/>
      <c r="R26" s="282"/>
      <c r="S26" s="282"/>
      <c r="T26" s="282"/>
      <c r="U26" s="282"/>
      <c r="V26" s="282"/>
      <c r="W26" s="282"/>
      <c r="X26" s="282"/>
      <c r="Y26" s="282"/>
      <c r="Z26" s="282"/>
      <c r="AA26" s="282"/>
      <c r="AB26" s="282"/>
      <c r="AC26" s="282"/>
      <c r="AD26" s="282"/>
      <c r="AE26" s="282"/>
      <c r="AF26" s="282"/>
      <c r="AG26" s="282"/>
      <c r="AH26" s="282"/>
      <c r="AI26" s="282"/>
      <c r="AZ26" s="340"/>
      <c r="BA26" s="340"/>
      <c r="BB26" s="340"/>
      <c r="BC26" s="340"/>
      <c r="BD26" s="341"/>
      <c r="BE26" s="341"/>
      <c r="BF26" s="341"/>
      <c r="BG26" s="341"/>
      <c r="BH26" s="341"/>
      <c r="BI26" s="341"/>
      <c r="BJ26" s="448"/>
      <c r="BK26" s="93"/>
      <c r="BL26" s="448"/>
      <c r="BM26" s="448"/>
      <c r="BN26" s="448"/>
      <c r="BO26" s="449"/>
      <c r="BP26" s="340"/>
      <c r="BQ26" s="340"/>
      <c r="BR26" s="340"/>
      <c r="BS26" s="340"/>
      <c r="BT26" s="449"/>
      <c r="BU26" s="340"/>
      <c r="BV26" s="340"/>
      <c r="BW26" s="340"/>
      <c r="BX26" s="341"/>
      <c r="BY26" s="449"/>
      <c r="BZ26" s="340"/>
      <c r="CA26" s="340"/>
      <c r="CB26" s="340"/>
      <c r="CC26" s="341"/>
      <c r="CD26" s="449"/>
      <c r="CE26" s="449"/>
      <c r="CF26" s="341"/>
      <c r="CG26" s="449"/>
      <c r="CH26" s="341"/>
      <c r="CI26" s="450"/>
      <c r="CJ26" s="450"/>
      <c r="CK26" s="340"/>
      <c r="CL26" s="450"/>
      <c r="CM26" s="341"/>
      <c r="CO26" s="450"/>
      <c r="CP26" s="450"/>
      <c r="CQ26" s="340"/>
      <c r="CR26" s="450"/>
      <c r="CS26" s="341"/>
      <c r="CT26" s="450"/>
      <c r="CU26" s="450"/>
      <c r="CV26" s="449"/>
      <c r="CW26" s="449"/>
      <c r="CX26" s="450"/>
    </row>
    <row r="27" spans="1:102" ht="20" customHeight="1" x14ac:dyDescent="0.3">
      <c r="A27" s="282"/>
      <c r="B27" s="282"/>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Z27" s="340"/>
      <c r="BA27" s="340"/>
      <c r="BB27" s="340"/>
      <c r="BC27" s="340"/>
      <c r="BD27" s="341"/>
      <c r="BE27" s="341"/>
      <c r="BF27" s="341"/>
      <c r="BG27" s="341"/>
      <c r="BH27" s="341"/>
      <c r="BI27" s="341"/>
      <c r="BJ27" s="448"/>
      <c r="BK27" s="93"/>
      <c r="BL27" s="448"/>
      <c r="BM27" s="448"/>
      <c r="BN27" s="448"/>
      <c r="BO27" s="449"/>
      <c r="BP27" s="340"/>
      <c r="BQ27" s="340"/>
      <c r="BR27" s="340"/>
      <c r="BS27" s="340"/>
      <c r="BT27" s="449"/>
      <c r="BU27" s="340"/>
      <c r="BV27" s="340"/>
      <c r="BW27" s="340"/>
      <c r="BX27" s="341"/>
      <c r="BY27" s="449"/>
      <c r="BZ27" s="340"/>
      <c r="CA27" s="340"/>
      <c r="CB27" s="340"/>
      <c r="CC27" s="341"/>
      <c r="CD27" s="449"/>
      <c r="CE27" s="449"/>
      <c r="CF27" s="341"/>
      <c r="CG27" s="449"/>
      <c r="CH27" s="341"/>
      <c r="CI27" s="450"/>
      <c r="CJ27" s="450"/>
      <c r="CK27" s="340"/>
      <c r="CL27" s="450"/>
      <c r="CM27" s="341"/>
      <c r="CO27" s="450"/>
      <c r="CP27" s="450"/>
      <c r="CQ27" s="340"/>
      <c r="CR27" s="450"/>
      <c r="CS27" s="341"/>
      <c r="CT27" s="450"/>
      <c r="CU27" s="450"/>
      <c r="CV27" s="449"/>
      <c r="CW27" s="449"/>
      <c r="CX27" s="450"/>
    </row>
    <row r="28" spans="1:102" ht="34.5" customHeight="1" x14ac:dyDescent="0.3">
      <c r="A28" s="282"/>
      <c r="B28" s="282"/>
      <c r="C28" s="282"/>
      <c r="D28" s="282"/>
      <c r="E28" s="282"/>
      <c r="F28" s="282"/>
      <c r="G28" s="282"/>
      <c r="H28" s="282"/>
      <c r="I28" s="282"/>
      <c r="J28" s="282"/>
      <c r="K28" s="282"/>
      <c r="L28" s="282"/>
      <c r="M28" s="282"/>
      <c r="N28" s="282"/>
      <c r="O28" s="282"/>
      <c r="P28" s="282"/>
      <c r="Q28" s="282"/>
      <c r="R28" s="282"/>
      <c r="S28" s="282"/>
      <c r="T28" s="282"/>
      <c r="U28" s="282"/>
      <c r="V28" s="282"/>
      <c r="W28" s="282"/>
      <c r="X28" s="282"/>
      <c r="Y28" s="282"/>
      <c r="Z28" s="282"/>
      <c r="AA28" s="282"/>
      <c r="AB28" s="282"/>
      <c r="AC28" s="282"/>
      <c r="AD28" s="282"/>
      <c r="AE28" s="282"/>
      <c r="AF28" s="282"/>
      <c r="AG28" s="282"/>
      <c r="AH28" s="282"/>
      <c r="AI28" s="282"/>
      <c r="AZ28" s="340"/>
      <c r="BA28" s="340"/>
      <c r="BB28" s="340"/>
      <c r="BC28" s="340"/>
      <c r="BD28" s="341"/>
      <c r="BE28" s="341"/>
      <c r="BF28" s="341"/>
      <c r="BG28" s="341"/>
      <c r="BH28" s="341"/>
      <c r="BI28" s="341"/>
      <c r="BJ28" s="448"/>
      <c r="BK28" s="93"/>
      <c r="BL28" s="448"/>
      <c r="BM28" s="448"/>
      <c r="BN28" s="448"/>
      <c r="BO28" s="449"/>
      <c r="BP28" s="340"/>
      <c r="BQ28" s="340"/>
      <c r="BR28" s="340"/>
      <c r="BS28" s="340"/>
      <c r="BT28" s="449"/>
      <c r="BU28" s="340"/>
      <c r="BV28" s="340"/>
      <c r="BW28" s="340"/>
      <c r="BX28" s="341"/>
      <c r="BY28" s="449"/>
      <c r="BZ28" s="340"/>
      <c r="CA28" s="340"/>
      <c r="CB28" s="340"/>
      <c r="CC28" s="341"/>
      <c r="CD28" s="449"/>
      <c r="CE28" s="449"/>
      <c r="CF28" s="341"/>
      <c r="CG28" s="449"/>
      <c r="CH28" s="341"/>
      <c r="CI28" s="450"/>
      <c r="CJ28" s="450"/>
      <c r="CK28" s="340"/>
      <c r="CL28" s="450"/>
      <c r="CM28" s="341"/>
      <c r="CO28" s="450"/>
      <c r="CP28" s="450"/>
      <c r="CQ28" s="340"/>
      <c r="CR28" s="450"/>
      <c r="CS28" s="341"/>
      <c r="CT28" s="450"/>
      <c r="CU28" s="450"/>
      <c r="CV28" s="449"/>
      <c r="CW28" s="449"/>
      <c r="CX28" s="450"/>
    </row>
    <row r="29" spans="1:102" ht="20" customHeight="1" x14ac:dyDescent="0.3">
      <c r="A29" s="282"/>
      <c r="B29" s="282"/>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Z29" s="340"/>
      <c r="BA29" s="340"/>
      <c r="BB29" s="340"/>
      <c r="BC29" s="340"/>
      <c r="BD29" s="341"/>
      <c r="BE29" s="341"/>
      <c r="BF29" s="341"/>
      <c r="BG29" s="341"/>
      <c r="BH29" s="341"/>
      <c r="BI29" s="341"/>
      <c r="BJ29" s="448"/>
      <c r="BK29" s="93"/>
      <c r="BL29" s="448"/>
      <c r="BM29" s="448"/>
      <c r="BN29" s="448"/>
      <c r="BO29" s="449"/>
      <c r="BP29" s="340"/>
      <c r="BQ29" s="340"/>
      <c r="BR29" s="340"/>
      <c r="BS29" s="340"/>
      <c r="BT29" s="449"/>
      <c r="BU29" s="340"/>
      <c r="BV29" s="340"/>
      <c r="BW29" s="340"/>
      <c r="BX29" s="341"/>
      <c r="BY29" s="449"/>
      <c r="BZ29" s="340"/>
      <c r="CA29" s="340"/>
      <c r="CB29" s="340"/>
      <c r="CC29" s="341"/>
      <c r="CD29" s="449"/>
      <c r="CE29" s="449"/>
      <c r="CF29" s="341"/>
      <c r="CG29" s="449"/>
      <c r="CH29" s="341"/>
      <c r="CI29" s="450"/>
      <c r="CJ29" s="450"/>
      <c r="CK29" s="340"/>
      <c r="CL29" s="450"/>
      <c r="CM29" s="341"/>
      <c r="CO29" s="450"/>
      <c r="CP29" s="450"/>
      <c r="CQ29" s="340"/>
      <c r="CR29" s="450"/>
      <c r="CS29" s="341"/>
      <c r="CT29" s="450"/>
      <c r="CU29" s="450"/>
      <c r="CV29" s="449"/>
      <c r="CW29" s="449"/>
      <c r="CX29" s="450"/>
    </row>
    <row r="30" spans="1:102" ht="20" customHeight="1" x14ac:dyDescent="0.3">
      <c r="C30" s="462"/>
      <c r="D30" s="462"/>
      <c r="E30" s="462"/>
      <c r="F30" s="462"/>
      <c r="G30" s="462"/>
      <c r="H30" s="462"/>
      <c r="I30" s="462"/>
      <c r="J30" s="462"/>
      <c r="K30" s="462"/>
      <c r="L30" s="462"/>
      <c r="M30" s="462"/>
      <c r="N30" s="462"/>
      <c r="O30" s="462"/>
      <c r="P30" s="463"/>
      <c r="Q30" s="463"/>
      <c r="R30" s="463"/>
      <c r="S30" s="463"/>
      <c r="T30" s="463"/>
      <c r="U30" s="463"/>
      <c r="V30" s="463"/>
      <c r="W30" s="463"/>
      <c r="X30" s="463"/>
      <c r="Y30" s="463"/>
      <c r="Z30" s="463"/>
      <c r="AA30" s="463"/>
      <c r="AB30" s="463"/>
      <c r="AC30" s="463"/>
      <c r="AE30" s="463"/>
      <c r="AF30" s="463"/>
      <c r="AG30" s="463"/>
      <c r="CH30" s="341"/>
    </row>
    <row r="31" spans="1:102" ht="20" customHeight="1" x14ac:dyDescent="0.3">
      <c r="C31" s="462"/>
      <c r="D31" s="462"/>
      <c r="E31" s="462"/>
      <c r="F31" s="462"/>
      <c r="G31" s="462"/>
      <c r="H31" s="462"/>
      <c r="I31" s="462"/>
      <c r="J31" s="462"/>
      <c r="K31" s="462"/>
      <c r="L31" s="462"/>
      <c r="M31" s="462"/>
      <c r="N31" s="462"/>
      <c r="O31" s="462"/>
      <c r="P31" s="463"/>
      <c r="Q31" s="463"/>
      <c r="R31" s="463"/>
      <c r="S31" s="463"/>
      <c r="T31" s="463"/>
      <c r="U31" s="463"/>
      <c r="V31" s="463"/>
      <c r="W31" s="463"/>
      <c r="X31" s="463"/>
      <c r="Y31" s="463"/>
      <c r="Z31" s="463"/>
      <c r="AA31" s="463"/>
      <c r="AB31" s="463"/>
      <c r="AC31" s="463"/>
      <c r="AD31" s="463"/>
      <c r="AE31" s="463"/>
      <c r="AF31" s="463"/>
      <c r="AG31" s="463"/>
    </row>
    <row r="32" spans="1:102" ht="20" customHeight="1" x14ac:dyDescent="0.3">
      <c r="C32" s="462"/>
      <c r="D32" s="462"/>
      <c r="E32" s="462"/>
      <c r="F32" s="462"/>
      <c r="G32" s="462"/>
      <c r="H32" s="462"/>
      <c r="I32" s="462"/>
      <c r="J32" s="462"/>
      <c r="K32" s="462"/>
      <c r="L32" s="462"/>
      <c r="M32" s="462"/>
      <c r="N32" s="462"/>
      <c r="O32" s="462"/>
      <c r="P32" s="463"/>
      <c r="Q32" s="463"/>
      <c r="R32" s="463"/>
      <c r="S32" s="463"/>
      <c r="T32" s="463"/>
      <c r="U32" s="463"/>
      <c r="V32" s="463"/>
      <c r="W32" s="463"/>
      <c r="X32" s="463"/>
      <c r="Y32" s="463"/>
      <c r="Z32" s="463"/>
      <c r="AA32" s="463"/>
      <c r="AB32" s="463"/>
      <c r="AC32" s="463"/>
      <c r="AD32" s="463"/>
      <c r="AE32" s="463"/>
      <c r="AF32" s="463"/>
      <c r="AG32" s="463"/>
    </row>
    <row r="33" spans="3:55" x14ac:dyDescent="0.3">
      <c r="C33" s="462"/>
      <c r="D33" s="462"/>
      <c r="E33" s="462"/>
      <c r="F33" s="462"/>
      <c r="G33" s="462"/>
      <c r="H33" s="462"/>
      <c r="I33" s="462"/>
      <c r="J33" s="462"/>
      <c r="K33" s="462"/>
      <c r="L33" s="462"/>
      <c r="M33" s="462"/>
      <c r="N33" s="462"/>
      <c r="O33" s="462"/>
      <c r="P33" s="463"/>
      <c r="Q33" s="463"/>
      <c r="R33" s="463"/>
      <c r="S33" s="463"/>
      <c r="T33" s="463"/>
      <c r="U33" s="463"/>
      <c r="V33" s="463"/>
      <c r="W33" s="463"/>
      <c r="X33" s="463"/>
      <c r="Y33" s="463"/>
      <c r="Z33" s="463"/>
      <c r="AA33" s="463"/>
      <c r="AB33" s="463"/>
      <c r="AC33" s="463"/>
      <c r="AD33" s="463"/>
      <c r="AE33" s="463"/>
      <c r="AF33" s="463"/>
      <c r="AG33" s="463"/>
    </row>
    <row r="34" spans="3:55" x14ac:dyDescent="0.3">
      <c r="C34" s="462"/>
      <c r="D34" s="462"/>
      <c r="E34" s="462"/>
      <c r="F34" s="462"/>
      <c r="G34" s="462"/>
      <c r="H34" s="462"/>
      <c r="I34" s="462"/>
      <c r="J34" s="462"/>
      <c r="K34" s="462"/>
      <c r="L34" s="462"/>
      <c r="M34" s="462"/>
      <c r="N34" s="462"/>
      <c r="O34" s="462"/>
      <c r="P34" s="463"/>
      <c r="Q34" s="463"/>
      <c r="R34" s="463"/>
      <c r="S34" s="463"/>
      <c r="T34" s="463"/>
      <c r="U34" s="463"/>
      <c r="V34" s="463"/>
      <c r="W34" s="465">
        <f>SUM(W5:W29)</f>
        <v>983128.31487570948</v>
      </c>
      <c r="Y34" s="465">
        <f t="shared" ref="Y34:Z34" si="3">SUM(Y5:Y29)</f>
        <v>131083.77531676125</v>
      </c>
      <c r="Z34" s="465">
        <f t="shared" si="3"/>
        <v>852044.53955894825</v>
      </c>
      <c r="BB34" s="341"/>
      <c r="BC34" s="341"/>
    </row>
    <row r="35" spans="3:55" x14ac:dyDescent="0.3">
      <c r="C35" s="462"/>
      <c r="D35" s="462"/>
      <c r="E35" s="462"/>
      <c r="F35" s="462"/>
      <c r="G35" s="462"/>
      <c r="H35" s="462"/>
      <c r="I35" s="462"/>
      <c r="J35" s="462"/>
      <c r="K35" s="462"/>
      <c r="L35" s="462"/>
      <c r="M35" s="462"/>
      <c r="N35" s="462"/>
      <c r="O35" s="462"/>
      <c r="P35" s="463"/>
      <c r="Q35" s="463"/>
      <c r="R35" s="463"/>
      <c r="S35" s="463"/>
      <c r="T35" s="463"/>
      <c r="U35" s="463"/>
      <c r="V35" s="463"/>
      <c r="AC35" s="466">
        <f>SUM(AC5:AC29)</f>
        <v>1865964.8437499998</v>
      </c>
      <c r="AD35" s="467">
        <f>SUM(AD5:AD29)</f>
        <v>18659.648437499996</v>
      </c>
      <c r="BC35" s="341"/>
    </row>
    <row r="36" spans="3:55" x14ac:dyDescent="0.3">
      <c r="C36" s="462"/>
      <c r="D36" s="462"/>
      <c r="E36" s="462"/>
      <c r="F36" s="462"/>
      <c r="G36" s="462"/>
      <c r="H36" s="462"/>
      <c r="I36" s="462"/>
      <c r="J36" s="462"/>
      <c r="K36" s="462"/>
      <c r="L36" s="462"/>
      <c r="M36" s="462"/>
      <c r="N36" s="462"/>
      <c r="O36" s="462"/>
      <c r="P36" s="463"/>
      <c r="Q36" s="463"/>
      <c r="R36" s="463"/>
      <c r="S36" s="463"/>
      <c r="T36" s="463"/>
      <c r="U36" s="463"/>
      <c r="V36" s="463"/>
    </row>
    <row r="37" spans="3:55" x14ac:dyDescent="0.3">
      <c r="C37" s="462"/>
      <c r="D37" s="462"/>
      <c r="E37" s="462"/>
      <c r="F37" s="462"/>
      <c r="G37" s="462"/>
      <c r="H37" s="462"/>
      <c r="I37" s="462"/>
      <c r="J37" s="462"/>
      <c r="K37" s="462"/>
      <c r="L37" s="462"/>
      <c r="M37" s="462"/>
      <c r="N37" s="462"/>
      <c r="O37" s="462"/>
      <c r="P37" s="463"/>
      <c r="Q37" s="463"/>
      <c r="R37" s="463"/>
      <c r="S37" s="463"/>
      <c r="T37" s="463"/>
      <c r="U37" s="463"/>
      <c r="V37" s="463"/>
    </row>
    <row r="38" spans="3:55" x14ac:dyDescent="0.3">
      <c r="C38" s="462"/>
      <c r="D38" s="462"/>
      <c r="E38" s="462"/>
      <c r="F38" s="462"/>
      <c r="G38" s="462"/>
      <c r="H38" s="462"/>
      <c r="I38" s="462"/>
      <c r="J38" s="462"/>
      <c r="K38" s="462"/>
      <c r="L38" s="462"/>
      <c r="M38" s="462"/>
      <c r="N38" s="462"/>
      <c r="O38" s="462"/>
      <c r="P38" s="463"/>
      <c r="Q38" s="463"/>
      <c r="R38" s="463"/>
      <c r="S38" s="463"/>
      <c r="T38" s="463"/>
      <c r="U38" s="463"/>
      <c r="V38" s="463"/>
    </row>
  </sheetData>
  <mergeCells count="25">
    <mergeCell ref="AP3:AV3"/>
    <mergeCell ref="AI3:AI4"/>
    <mergeCell ref="CD2:CL2"/>
    <mergeCell ref="P2:AB2"/>
    <mergeCell ref="AC2:AH2"/>
    <mergeCell ref="BO2:BX2"/>
    <mergeCell ref="P3:P4"/>
    <mergeCell ref="Q3:R3"/>
    <mergeCell ref="AB3:AB4"/>
    <mergeCell ref="AW3:AZ3"/>
    <mergeCell ref="AC3:AC4"/>
    <mergeCell ref="AD3:AD4"/>
    <mergeCell ref="AM4:AN4"/>
    <mergeCell ref="S3:T3"/>
    <mergeCell ref="W3:X3"/>
    <mergeCell ref="Y3:Y4"/>
    <mergeCell ref="Z3:Z4"/>
    <mergeCell ref="AA3:AA4"/>
    <mergeCell ref="A1:B1"/>
    <mergeCell ref="AE3:AE4"/>
    <mergeCell ref="AF3:AF4"/>
    <mergeCell ref="L3:M3"/>
    <mergeCell ref="N3:O3"/>
    <mergeCell ref="A2:K2"/>
    <mergeCell ref="L2:O2"/>
  </mergeCells>
  <conditionalFormatting sqref="AE5:AF5">
    <cfRule type="cellIs" dxfId="19" priority="7" operator="equal">
      <formula>1</formula>
    </cfRule>
    <cfRule type="cellIs" dxfId="18" priority="8" operator="equal">
      <formula>2</formula>
    </cfRule>
    <cfRule type="cellIs" dxfId="17" priority="9" operator="equal">
      <formula>3</formula>
    </cfRule>
    <cfRule type="cellIs" dxfId="16" priority="10" operator="greaterThan">
      <formula>3.9</formula>
    </cfRule>
  </conditionalFormatting>
  <conditionalFormatting sqref="AH5">
    <cfRule type="cellIs" dxfId="15" priority="1" operator="between">
      <formula>0.3</formula>
      <formula>0.5</formula>
    </cfRule>
    <cfRule type="cellIs" dxfId="14" priority="2" operator="lessThan">
      <formula>0.3</formula>
    </cfRule>
    <cfRule type="cellIs" dxfId="13" priority="3" operator="between">
      <formula>0.3</formula>
      <formula>0.5</formula>
    </cfRule>
    <cfRule type="cellIs" dxfId="12" priority="4" operator="between">
      <formula>0.5</formula>
      <formula>0.6</formula>
    </cfRule>
    <cfRule type="cellIs" dxfId="11" priority="5" operator="greaterThan">
      <formula>0.6</formula>
    </cfRule>
    <cfRule type="cellIs" dxfId="10" priority="6" operator="lessThan">
      <formula>0.5</formula>
    </cfRule>
  </conditionalFormatting>
  <pageMargins left="0.7" right="0.7" top="0.75" bottom="0.75" header="0.3" footer="0.3"/>
  <headerFooter>
    <oddFooter>&amp;C_x000D_&amp;1#&amp;"Calibri"&amp;8&amp;K000000 INTERNAL. This information is accessible to ADB Management and staff. It may be shared outside ADB with appropriate permission.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6CCEFF17-1221-49DD-B80A-BC5780A960A5}">
          <x14:formula1>
            <xm:f>'AR-Hierarchy '!$D$107:$D$109</xm:f>
          </x14:formula1>
          <xm:sqref>D6:D29</xm:sqref>
        </x14:dataValidation>
        <x14:dataValidation type="list" allowBlank="1" showInputMessage="1" showErrorMessage="1" xr:uid="{EC8DFD8B-BC10-47E5-AA77-2FFB79A4E48D}">
          <x14:formula1>
            <xm:f>'AR-Hierarchy '!$H$107:$H$109</xm:f>
          </x14:formula1>
          <xm:sqref>F6:F26</xm:sqref>
        </x14:dataValidation>
        <x14:dataValidation type="list" allowBlank="1" showInputMessage="1" showErrorMessage="1" xr:uid="{E9A9CD51-386A-4348-BF00-541E6BD6880A}">
          <x14:formula1>
            <xm:f>'Condition rating weights'!$C$29:$C$34</xm:f>
          </x14:formula1>
          <xm:sqref>AE10:AE29 AF10:AG10 AE5:AG9</xm:sqref>
        </x14:dataValidation>
        <x14:dataValidation type="list" allowBlank="1" showInputMessage="1" showErrorMessage="1" xr:uid="{52C10B49-5488-401B-8122-41CD819A164B}">
          <x14:formula1>
            <xm:f>'AR-Hierarchy '!$B$4:$B$53</xm:f>
          </x14:formula1>
          <xm:sqref>C5:C26</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9C883-DBD1-4E7B-9683-494E63F33348}">
  <dimension ref="A1:AV25"/>
  <sheetViews>
    <sheetView topLeftCell="AD8" workbookViewId="0">
      <selection activeCell="AF16" sqref="AF16"/>
    </sheetView>
  </sheetViews>
  <sheetFormatPr defaultColWidth="8.81640625" defaultRowHeight="14" x14ac:dyDescent="0.3"/>
  <cols>
    <col min="1" max="31" width="35.6328125" style="91" customWidth="1"/>
    <col min="32" max="32" width="39.453125" style="91" customWidth="1"/>
    <col min="33" max="34" width="8.81640625" style="91"/>
    <col min="35" max="35" width="16.08984375" style="91" customWidth="1"/>
    <col min="36" max="41" width="8.81640625" style="91"/>
    <col min="42" max="42" width="12.08984375" style="91" customWidth="1"/>
    <col min="43" max="43" width="12.1796875" style="91" customWidth="1"/>
    <col min="44" max="44" width="16.36328125" style="91" customWidth="1"/>
    <col min="45" max="45" width="11.1796875" style="91" customWidth="1"/>
    <col min="46" max="47" width="11.36328125" style="91" customWidth="1"/>
    <col min="48" max="48" width="11.08984375" style="91" customWidth="1"/>
    <col min="49" max="16384" width="8.81640625" style="91"/>
  </cols>
  <sheetData>
    <row r="1" spans="1:48" ht="29.5" customHeight="1" thickTop="1" x14ac:dyDescent="0.3">
      <c r="A1" s="621" t="s">
        <v>32</v>
      </c>
      <c r="B1" s="622"/>
      <c r="C1" s="288">
        <v>2023</v>
      </c>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row>
    <row r="2" spans="1:48" ht="41" customHeight="1" thickBot="1" x14ac:dyDescent="0.35">
      <c r="A2" s="584" t="s">
        <v>1412</v>
      </c>
      <c r="B2" s="585"/>
      <c r="C2" s="585"/>
      <c r="D2" s="585"/>
      <c r="E2" s="585"/>
      <c r="F2" s="585"/>
      <c r="G2" s="585"/>
      <c r="H2" s="585"/>
      <c r="I2" s="585"/>
      <c r="J2" s="585" t="s">
        <v>1409</v>
      </c>
      <c r="K2" s="586"/>
      <c r="L2" s="592" t="s">
        <v>267</v>
      </c>
      <c r="M2" s="593"/>
      <c r="N2" s="593"/>
      <c r="O2" s="593"/>
      <c r="P2" s="593"/>
      <c r="Q2" s="593"/>
      <c r="R2" s="593"/>
      <c r="S2" s="593"/>
      <c r="T2" s="593"/>
      <c r="U2" s="593"/>
      <c r="V2" s="593"/>
      <c r="W2" s="593"/>
      <c r="X2" s="594"/>
      <c r="Y2" s="592" t="s">
        <v>268</v>
      </c>
      <c r="Z2" s="593"/>
      <c r="AA2" s="593"/>
      <c r="AB2" s="593"/>
      <c r="AC2" s="593"/>
      <c r="AD2" s="690"/>
      <c r="AE2" s="483"/>
      <c r="AT2" s="589" t="s">
        <v>828</v>
      </c>
      <c r="AU2" s="589"/>
      <c r="AV2" s="93"/>
    </row>
    <row r="3" spans="1:48" ht="44" customHeight="1" thickTop="1" x14ac:dyDescent="0.3">
      <c r="A3" s="293" t="s">
        <v>0</v>
      </c>
      <c r="B3" s="294" t="s">
        <v>34</v>
      </c>
      <c r="C3" s="294" t="s">
        <v>250</v>
      </c>
      <c r="D3" s="294" t="s">
        <v>251</v>
      </c>
      <c r="E3" s="294" t="s">
        <v>1</v>
      </c>
      <c r="F3" s="294" t="s">
        <v>2</v>
      </c>
      <c r="G3" s="294" t="s">
        <v>252</v>
      </c>
      <c r="H3" s="294" t="s">
        <v>30</v>
      </c>
      <c r="I3" s="294" t="s">
        <v>31</v>
      </c>
      <c r="J3" s="616" t="s">
        <v>255</v>
      </c>
      <c r="K3" s="626"/>
      <c r="L3" s="294" t="s">
        <v>259</v>
      </c>
      <c r="M3" s="603" t="s">
        <v>38</v>
      </c>
      <c r="N3" s="604"/>
      <c r="O3" s="603" t="s">
        <v>261</v>
      </c>
      <c r="P3" s="591"/>
      <c r="Q3" s="296"/>
      <c r="R3" s="296"/>
      <c r="S3" s="591" t="s">
        <v>262</v>
      </c>
      <c r="T3" s="591"/>
      <c r="U3" s="591" t="s">
        <v>263</v>
      </c>
      <c r="V3" s="591" t="s">
        <v>326</v>
      </c>
      <c r="W3" s="604" t="s">
        <v>33</v>
      </c>
      <c r="X3" s="609" t="s">
        <v>264</v>
      </c>
      <c r="Y3" s="609" t="s">
        <v>265</v>
      </c>
      <c r="Z3" s="609" t="s">
        <v>266</v>
      </c>
      <c r="AA3" s="673" t="s">
        <v>1176</v>
      </c>
      <c r="AB3" s="673" t="s">
        <v>1441</v>
      </c>
      <c r="AC3" s="609"/>
      <c r="AD3" s="295" t="s">
        <v>1442</v>
      </c>
      <c r="AE3" s="671" t="s">
        <v>1432</v>
      </c>
      <c r="AK3" s="299" t="s">
        <v>809</v>
      </c>
      <c r="AP3" s="308" t="s">
        <v>1427</v>
      </c>
      <c r="AQ3" s="305" t="s">
        <v>262</v>
      </c>
      <c r="AR3" s="292"/>
      <c r="AS3" s="308" t="s">
        <v>825</v>
      </c>
      <c r="AT3" s="305" t="s">
        <v>827</v>
      </c>
      <c r="AU3" s="308" t="s">
        <v>826</v>
      </c>
      <c r="AV3" s="306" t="s">
        <v>833</v>
      </c>
    </row>
    <row r="4" spans="1:48" ht="57.5" customHeight="1" x14ac:dyDescent="0.3">
      <c r="A4" s="506"/>
      <c r="B4" s="488"/>
      <c r="C4" s="349"/>
      <c r="D4" s="349"/>
      <c r="E4" s="349"/>
      <c r="F4" s="349"/>
      <c r="G4" s="349"/>
      <c r="H4" s="349"/>
      <c r="I4" s="349"/>
      <c r="J4" s="349" t="s">
        <v>256</v>
      </c>
      <c r="K4" s="349" t="s">
        <v>257</v>
      </c>
      <c r="L4" s="349"/>
      <c r="M4" s="349" t="s">
        <v>38</v>
      </c>
      <c r="N4" s="349" t="s">
        <v>260</v>
      </c>
      <c r="O4" s="349" t="s">
        <v>261</v>
      </c>
      <c r="P4" s="349" t="s">
        <v>260</v>
      </c>
      <c r="Q4" s="349" t="s">
        <v>715</v>
      </c>
      <c r="R4" s="349" t="s">
        <v>716</v>
      </c>
      <c r="S4" s="349" t="s">
        <v>262</v>
      </c>
      <c r="T4" s="349" t="s">
        <v>260</v>
      </c>
      <c r="U4" s="647"/>
      <c r="V4" s="647"/>
      <c r="W4" s="648"/>
      <c r="X4" s="629"/>
      <c r="Y4" s="629"/>
      <c r="Z4" s="629"/>
      <c r="AA4" s="689"/>
      <c r="AB4" s="689"/>
      <c r="AC4" s="629"/>
      <c r="AD4" s="441" t="s">
        <v>37</v>
      </c>
      <c r="AE4" s="682"/>
      <c r="AI4" s="305"/>
      <c r="AJ4" s="306" t="str">
        <f>'AR-Hierarchy '!H168</f>
        <v>Light Duty</v>
      </c>
      <c r="AK4" s="306" t="str">
        <f>'AR-Hierarchy '!H169</f>
        <v>Standard</v>
      </c>
      <c r="AL4" s="306" t="str">
        <f>'AR-Hierarchy '!H170</f>
        <v>Heavy Duty</v>
      </c>
      <c r="AM4" s="306" t="str">
        <f>AJ4</f>
        <v>Light Duty</v>
      </c>
      <c r="AN4" s="306" t="str">
        <f>AK4</f>
        <v>Standard</v>
      </c>
      <c r="AO4" s="306" t="str">
        <f>AL4</f>
        <v>Heavy Duty</v>
      </c>
      <c r="AP4" s="307" t="str">
        <f>AI5</f>
        <v>ICT Towers</v>
      </c>
      <c r="AQ4" s="306" t="str">
        <f>AP4</f>
        <v>ICT Towers</v>
      </c>
      <c r="AR4" s="307" t="s">
        <v>1028</v>
      </c>
      <c r="AS4" s="307" t="str">
        <f>AQ4</f>
        <v>ICT Towers</v>
      </c>
      <c r="AT4" s="311" t="str">
        <f>AS4</f>
        <v>ICT Towers</v>
      </c>
      <c r="AU4" s="310" t="str">
        <f>AT4</f>
        <v>ICT Towers</v>
      </c>
      <c r="AV4" s="311" t="str">
        <f>AU4</f>
        <v>ICT Towers</v>
      </c>
    </row>
    <row r="5" spans="1:48" ht="35" customHeight="1" x14ac:dyDescent="0.3">
      <c r="A5" s="330" t="s">
        <v>1349</v>
      </c>
      <c r="B5" s="318" t="s">
        <v>1225</v>
      </c>
      <c r="C5" s="318" t="s">
        <v>324</v>
      </c>
      <c r="D5" s="318" t="s">
        <v>161</v>
      </c>
      <c r="E5" s="318" t="s">
        <v>162</v>
      </c>
      <c r="F5" s="318" t="s">
        <v>11</v>
      </c>
      <c r="G5" s="318" t="s">
        <v>724</v>
      </c>
      <c r="H5" s="318" t="s">
        <v>1188</v>
      </c>
      <c r="I5" s="318" t="s">
        <v>1189</v>
      </c>
      <c r="J5" s="318" t="s">
        <v>1190</v>
      </c>
      <c r="K5" s="318">
        <v>35</v>
      </c>
      <c r="L5" s="507">
        <f>(HLOOKUP(F5,$AM$4:$AO$5,2,FALSE))</f>
        <v>40</v>
      </c>
      <c r="M5" s="318">
        <v>1990</v>
      </c>
      <c r="N5" s="318" t="s">
        <v>800</v>
      </c>
      <c r="O5" s="318">
        <f>M5</f>
        <v>1990</v>
      </c>
      <c r="P5" s="318" t="str">
        <f>N5</f>
        <v>Estimated</v>
      </c>
      <c r="Q5" s="318"/>
      <c r="R5" s="318"/>
      <c r="S5" s="317">
        <f>AQ5</f>
        <v>9571.4731764519875</v>
      </c>
      <c r="T5" s="317" t="s">
        <v>800</v>
      </c>
      <c r="U5" s="317">
        <f>AU5</f>
        <v>7657.1785411615901</v>
      </c>
      <c r="V5" s="317">
        <f>S5-U5</f>
        <v>1914.2946352903973</v>
      </c>
      <c r="W5" s="317">
        <f>AV5</f>
        <v>239.28682941129969</v>
      </c>
      <c r="X5" s="317">
        <f>V5-W5</f>
        <v>1675.0078058790975</v>
      </c>
      <c r="Y5" s="317">
        <f>HLOOKUP($C$1,'Inflation Adjustments'!$BI$3:$BT$4,2)*AP5</f>
        <v>44783.156249999993</v>
      </c>
      <c r="Z5" s="317">
        <f>IF(AE5="In Service",Y5*'Maintenace Cost Assumptions'!$B$10,0)</f>
        <v>895.66312499999992</v>
      </c>
      <c r="AA5" s="318">
        <v>3</v>
      </c>
      <c r="AB5" s="318">
        <v>4</v>
      </c>
      <c r="AC5" s="318"/>
      <c r="AD5" s="332">
        <f>(AA5*'Condition rating weights'!H$147+AB5*'Condition rating weights'!R$147+AC5*'Condition rating weights'!S$147)/100</f>
        <v>0.7</v>
      </c>
      <c r="AE5" s="454" t="s">
        <v>1430</v>
      </c>
      <c r="AF5" s="346"/>
      <c r="AI5" s="306" t="s">
        <v>1226</v>
      </c>
      <c r="AJ5" s="490">
        <f>'GRC and TUL Assumptions'!C97</f>
        <v>20000</v>
      </c>
      <c r="AK5" s="490">
        <f>'GRC and TUL Assumptions'!C98</f>
        <v>30000</v>
      </c>
      <c r="AL5" s="490">
        <f>'GRC and TUL Assumptions'!C99</f>
        <v>45000</v>
      </c>
      <c r="AM5" s="305">
        <f>'GRC and TUL Assumptions'!E97</f>
        <v>40</v>
      </c>
      <c r="AN5" s="305">
        <f>'GRC and TUL Assumptions'!E98</f>
        <v>40</v>
      </c>
      <c r="AO5" s="305">
        <f>'GRC and TUL Assumptions'!E99</f>
        <v>40</v>
      </c>
      <c r="AP5" s="323">
        <f>(HLOOKUP(F5,$AJ$4:$AL$5,2,FALSE))</f>
        <v>30000</v>
      </c>
      <c r="AQ5" s="325">
        <f>(HLOOKUP($O5,'Inflation Adjustments'!$B$3:$BT$4,2,TRUE))*AP5</f>
        <v>9571.4731764519875</v>
      </c>
      <c r="AR5" s="326">
        <f>IF(($C$1-O5-1)&lt;0,0,$C$1-O5-1)</f>
        <v>32</v>
      </c>
      <c r="AS5" s="323">
        <f>(HLOOKUP(F5,$AM$4:$AO$5,2,FALSE))</f>
        <v>40</v>
      </c>
      <c r="AT5" s="327">
        <f>AQ5/AS5</f>
        <v>239.28682941129969</v>
      </c>
      <c r="AU5" s="323">
        <f>IF(AT5*$AR5&gt;AQ5,AQ5,AT5*$AR5)</f>
        <v>7657.1785411615901</v>
      </c>
      <c r="AV5" s="327">
        <f>IF(AT5&lt;(AQ5-AU5),AT5,(AQ5-AU5))</f>
        <v>239.28682941129969</v>
      </c>
    </row>
    <row r="6" spans="1:48" ht="35" customHeight="1" x14ac:dyDescent="0.3">
      <c r="A6" s="330" t="s">
        <v>1350</v>
      </c>
      <c r="B6" s="318" t="s">
        <v>1229</v>
      </c>
      <c r="C6" s="318" t="s">
        <v>324</v>
      </c>
      <c r="D6" s="318" t="s">
        <v>161</v>
      </c>
      <c r="E6" s="318" t="s">
        <v>162</v>
      </c>
      <c r="F6" s="318" t="s">
        <v>10</v>
      </c>
      <c r="G6" s="318" t="s">
        <v>724</v>
      </c>
      <c r="H6" s="318" t="s">
        <v>1191</v>
      </c>
      <c r="I6" s="318" t="s">
        <v>1192</v>
      </c>
      <c r="J6" s="318" t="s">
        <v>1190</v>
      </c>
      <c r="K6" s="318">
        <v>70</v>
      </c>
      <c r="L6" s="507">
        <f t="shared" ref="L6:L12" si="0">(HLOOKUP(F6,$AM$4:$AO$5,2,FALSE))</f>
        <v>40</v>
      </c>
      <c r="M6" s="318">
        <v>2010</v>
      </c>
      <c r="N6" s="318" t="s">
        <v>800</v>
      </c>
      <c r="O6" s="318">
        <v>2010</v>
      </c>
      <c r="P6" s="318" t="str">
        <f>N6</f>
        <v>Estimated</v>
      </c>
      <c r="Q6" s="318"/>
      <c r="R6" s="318"/>
      <c r="S6" s="317">
        <f>AQ6</f>
        <v>38508.650040532128</v>
      </c>
      <c r="T6" s="317" t="s">
        <v>800</v>
      </c>
      <c r="U6" s="317">
        <f>AU6</f>
        <v>11552.59501215964</v>
      </c>
      <c r="V6" s="317">
        <f>S6-U6</f>
        <v>26956.055028372488</v>
      </c>
      <c r="W6" s="317">
        <f>AV6</f>
        <v>962.71625101330324</v>
      </c>
      <c r="X6" s="317">
        <f>V6-W6</f>
        <v>25993.338777359186</v>
      </c>
      <c r="Y6" s="317">
        <f>HLOOKUP($C$1,'Inflation Adjustments'!$BI$3:$BT$4,2)*AP6</f>
        <v>67174.734375</v>
      </c>
      <c r="Z6" s="317">
        <f>IF(AE6="In Service",Y6*'Maintenace Cost Assumptions'!$B$10,0)</f>
        <v>1343.4946875000001</v>
      </c>
      <c r="AA6" s="318">
        <v>3</v>
      </c>
      <c r="AB6" s="318">
        <v>3</v>
      </c>
      <c r="AC6" s="318"/>
      <c r="AD6" s="332">
        <f>(AA6*'Condition rating weights'!H$147+AB6*'Condition rating weights'!R$147+AC6*'Condition rating weights'!S$147)/100</f>
        <v>0.6</v>
      </c>
      <c r="AE6" s="454" t="s">
        <v>1430</v>
      </c>
      <c r="AF6" s="255"/>
      <c r="AI6" s="306"/>
      <c r="AJ6" s="490"/>
      <c r="AK6" s="490"/>
      <c r="AL6" s="490"/>
      <c r="AM6" s="305"/>
      <c r="AN6" s="305"/>
      <c r="AO6" s="305"/>
      <c r="AP6" s="323">
        <f>(HLOOKUP(F6,$AJ$4:$AL$5,2,FALSE))</f>
        <v>45000</v>
      </c>
      <c r="AQ6" s="325">
        <f>(HLOOKUP($O6,'Inflation Adjustments'!$B$3:$BT$4,2,TRUE))*AP6</f>
        <v>38508.650040532128</v>
      </c>
      <c r="AR6" s="326">
        <f>IF(($C$1-O6-1)&lt;0,0,$C$1-O6-1)</f>
        <v>12</v>
      </c>
      <c r="AS6" s="323">
        <f>(HLOOKUP(F6,$AM$4:$AO$5,2,FALSE))</f>
        <v>40</v>
      </c>
      <c r="AT6" s="327">
        <f>AQ6/AS6</f>
        <v>962.71625101330324</v>
      </c>
      <c r="AU6" s="323">
        <f>IF(AT6*$AR6&gt;AQ6,AQ6,AT6*$AR6)</f>
        <v>11552.59501215964</v>
      </c>
      <c r="AV6" s="327">
        <f>IF(AT6&lt;(AQ6-AU6),AT6,(AQ6-AU6))</f>
        <v>962.71625101330324</v>
      </c>
    </row>
    <row r="7" spans="1:48" ht="35" customHeight="1" x14ac:dyDescent="0.3">
      <c r="A7" s="330" t="s">
        <v>1351</v>
      </c>
      <c r="B7" s="318" t="s">
        <v>1388</v>
      </c>
      <c r="C7" s="318" t="s">
        <v>324</v>
      </c>
      <c r="D7" s="318" t="s">
        <v>161</v>
      </c>
      <c r="E7" s="318" t="s">
        <v>162</v>
      </c>
      <c r="F7" s="318" t="s">
        <v>820</v>
      </c>
      <c r="G7" s="318" t="s">
        <v>723</v>
      </c>
      <c r="H7" s="318" t="s">
        <v>1193</v>
      </c>
      <c r="I7" s="318" t="s">
        <v>1192</v>
      </c>
      <c r="J7" s="318" t="s">
        <v>1190</v>
      </c>
      <c r="K7" s="318">
        <v>10</v>
      </c>
      <c r="L7" s="507">
        <f t="shared" si="0"/>
        <v>40</v>
      </c>
      <c r="M7" s="318">
        <v>2015</v>
      </c>
      <c r="N7" s="318" t="s">
        <v>800</v>
      </c>
      <c r="O7" s="318">
        <v>2015</v>
      </c>
      <c r="P7" s="318" t="str">
        <f>N7</f>
        <v>Estimated</v>
      </c>
      <c r="Q7" s="318"/>
      <c r="R7" s="318"/>
      <c r="S7" s="317">
        <f t="shared" ref="S7:S12" si="1">AQ7</f>
        <v>17067.107546242314</v>
      </c>
      <c r="T7" s="317" t="s">
        <v>800</v>
      </c>
      <c r="U7" s="317">
        <f>AU7</f>
        <v>2986.743820592405</v>
      </c>
      <c r="V7" s="317">
        <f>S7-U7</f>
        <v>14080.36372564991</v>
      </c>
      <c r="W7" s="317">
        <f>AV7</f>
        <v>426.67768865605785</v>
      </c>
      <c r="X7" s="317">
        <f>V7-W7</f>
        <v>13653.686036993851</v>
      </c>
      <c r="Y7" s="317">
        <f>HLOOKUP($C$1,'Inflation Adjustments'!$BI$3:$BT$4,2)*AP7</f>
        <v>29855.437499999996</v>
      </c>
      <c r="Z7" s="317">
        <f>IF(AE7="In Service",Y7*'Maintenace Cost Assumptions'!$B$10,0)</f>
        <v>597.10874999999999</v>
      </c>
      <c r="AA7" s="318">
        <v>4</v>
      </c>
      <c r="AB7" s="318">
        <v>4</v>
      </c>
      <c r="AC7" s="318"/>
      <c r="AD7" s="332">
        <f>(AA7*'Condition rating weights'!H$147+AB7*'Condition rating weights'!R$147+AC7*'Condition rating weights'!S$147)/100</f>
        <v>0.8</v>
      </c>
      <c r="AE7" s="454" t="s">
        <v>1430</v>
      </c>
      <c r="AF7" s="255"/>
      <c r="AI7" s="306"/>
      <c r="AJ7" s="305"/>
      <c r="AK7" s="305"/>
      <c r="AL7" s="305"/>
      <c r="AM7" s="305"/>
      <c r="AN7" s="305"/>
      <c r="AO7" s="305"/>
      <c r="AP7" s="323">
        <f t="shared" ref="AP7:AP8" si="2">(HLOOKUP(F7,$AJ$4:$AL$5,2,FALSE))</f>
        <v>20000</v>
      </c>
      <c r="AQ7" s="325">
        <f>(HLOOKUP($O7,'Inflation Adjustments'!$B$3:$BT$4,2,TRUE))*AP7</f>
        <v>17067.107546242314</v>
      </c>
      <c r="AR7" s="326">
        <f t="shared" ref="AR7:AR8" si="3">IF(($C$1-O7-1)&lt;0,0,$C$1-O7-1)</f>
        <v>7</v>
      </c>
      <c r="AS7" s="323">
        <f t="shared" ref="AS7:AS8" si="4">(HLOOKUP(F7,$AM$4:$AO$5,2,FALSE))</f>
        <v>40</v>
      </c>
      <c r="AT7" s="327">
        <f t="shared" ref="AT7:AT8" si="5">AQ7/AS7</f>
        <v>426.67768865605785</v>
      </c>
      <c r="AU7" s="323">
        <f t="shared" ref="AU7:AU8" si="6">IF(AT7*$AR7&gt;AQ7,AQ7,AT7*$AR7)</f>
        <v>2986.743820592405</v>
      </c>
      <c r="AV7" s="327">
        <f t="shared" ref="AV7:AV8" si="7">IF(AT7&lt;(AQ7-AU7),AT7,(AQ7-AU7))</f>
        <v>426.67768865605785</v>
      </c>
    </row>
    <row r="8" spans="1:48" ht="35" customHeight="1" x14ac:dyDescent="0.3">
      <c r="A8" s="330" t="s">
        <v>1352</v>
      </c>
      <c r="B8" s="318" t="s">
        <v>1194</v>
      </c>
      <c r="C8" s="318" t="s">
        <v>324</v>
      </c>
      <c r="D8" s="318" t="s">
        <v>161</v>
      </c>
      <c r="E8" s="318" t="s">
        <v>162</v>
      </c>
      <c r="F8" s="318" t="s">
        <v>10</v>
      </c>
      <c r="G8" s="318" t="s">
        <v>723</v>
      </c>
      <c r="H8" s="318" t="s">
        <v>1019</v>
      </c>
      <c r="I8" s="318" t="s">
        <v>1201</v>
      </c>
      <c r="J8" s="318" t="s">
        <v>1190</v>
      </c>
      <c r="K8" s="318">
        <v>20</v>
      </c>
      <c r="L8" s="507">
        <f t="shared" si="0"/>
        <v>40</v>
      </c>
      <c r="M8" s="318">
        <v>2015</v>
      </c>
      <c r="N8" s="318" t="s">
        <v>800</v>
      </c>
      <c r="O8" s="318">
        <v>2015</v>
      </c>
      <c r="P8" s="318" t="str">
        <f>N8</f>
        <v>Estimated</v>
      </c>
      <c r="Q8" s="318"/>
      <c r="R8" s="318"/>
      <c r="S8" s="317">
        <f t="shared" si="1"/>
        <v>38400.991979045211</v>
      </c>
      <c r="T8" s="317" t="s">
        <v>800</v>
      </c>
      <c r="U8" s="317">
        <f>AU8</f>
        <v>6720.173596332912</v>
      </c>
      <c r="V8" s="317">
        <f>S8-U8</f>
        <v>31680.818382712299</v>
      </c>
      <c r="W8" s="317">
        <f>AV8</f>
        <v>960.02479947613028</v>
      </c>
      <c r="X8" s="317">
        <f>V8-W8</f>
        <v>30720.793583236169</v>
      </c>
      <c r="Y8" s="317">
        <f>HLOOKUP($C$1,'Inflation Adjustments'!$BI$3:$BT$4,2)*AP8</f>
        <v>67174.734375</v>
      </c>
      <c r="Z8" s="317">
        <f>IF(AE8="In Service",Y8*'Maintenace Cost Assumptions'!$B$10,0)</f>
        <v>1343.4946875000001</v>
      </c>
      <c r="AA8" s="318">
        <v>3</v>
      </c>
      <c r="AB8" s="318">
        <v>3</v>
      </c>
      <c r="AC8" s="318"/>
      <c r="AD8" s="332">
        <f>(AA8*'Condition rating weights'!H$147+AB8*'Condition rating weights'!R$147+AC8*'Condition rating weights'!S$147)/100</f>
        <v>0.6</v>
      </c>
      <c r="AE8" s="454" t="s">
        <v>1430</v>
      </c>
      <c r="AF8" s="255"/>
      <c r="AI8" s="306"/>
      <c r="AJ8" s="305"/>
      <c r="AK8" s="305"/>
      <c r="AL8" s="305"/>
      <c r="AM8" s="305"/>
      <c r="AN8" s="305"/>
      <c r="AO8" s="305"/>
      <c r="AP8" s="323">
        <f t="shared" si="2"/>
        <v>45000</v>
      </c>
      <c r="AQ8" s="325">
        <f>(HLOOKUP($O8,'Inflation Adjustments'!$B$3:$BT$4,2,TRUE))*AP8</f>
        <v>38400.991979045211</v>
      </c>
      <c r="AR8" s="326">
        <f t="shared" si="3"/>
        <v>7</v>
      </c>
      <c r="AS8" s="323">
        <f t="shared" si="4"/>
        <v>40</v>
      </c>
      <c r="AT8" s="327">
        <f t="shared" si="5"/>
        <v>960.02479947613028</v>
      </c>
      <c r="AU8" s="323">
        <f t="shared" si="6"/>
        <v>6720.173596332912</v>
      </c>
      <c r="AV8" s="327">
        <f t="shared" si="7"/>
        <v>960.02479947613028</v>
      </c>
    </row>
    <row r="9" spans="1:48" ht="35" customHeight="1" x14ac:dyDescent="0.3">
      <c r="A9" s="330" t="s">
        <v>1353</v>
      </c>
      <c r="B9" s="318" t="s">
        <v>1196</v>
      </c>
      <c r="C9" s="318" t="s">
        <v>324</v>
      </c>
      <c r="D9" s="318" t="s">
        <v>161</v>
      </c>
      <c r="E9" s="318" t="s">
        <v>162</v>
      </c>
      <c r="F9" s="318" t="s">
        <v>11</v>
      </c>
      <c r="G9" s="318" t="s">
        <v>723</v>
      </c>
      <c r="H9" s="318" t="s">
        <v>1195</v>
      </c>
      <c r="I9" s="318" t="s">
        <v>1014</v>
      </c>
      <c r="J9" s="318" t="s">
        <v>1190</v>
      </c>
      <c r="K9" s="318">
        <v>20</v>
      </c>
      <c r="L9" s="507">
        <f t="shared" si="0"/>
        <v>40</v>
      </c>
      <c r="M9" s="318">
        <v>2015</v>
      </c>
      <c r="N9" s="318" t="s">
        <v>800</v>
      </c>
      <c r="O9" s="318">
        <f>M9</f>
        <v>2015</v>
      </c>
      <c r="P9" s="318" t="str">
        <f t="shared" ref="P9:P13" si="8">N9</f>
        <v>Estimated</v>
      </c>
      <c r="Q9" s="318"/>
      <c r="R9" s="318"/>
      <c r="S9" s="317">
        <f t="shared" si="1"/>
        <v>25600.661319363473</v>
      </c>
      <c r="T9" s="317" t="s">
        <v>800</v>
      </c>
      <c r="U9" s="317">
        <f t="shared" ref="U9:U12" si="9">AU9</f>
        <v>4480.1157308886077</v>
      </c>
      <c r="V9" s="317">
        <f t="shared" ref="V9:V12" si="10">S9-U9</f>
        <v>21120.545588474866</v>
      </c>
      <c r="W9" s="317">
        <f t="shared" ref="W9:W12" si="11">AV9</f>
        <v>640.01653298408678</v>
      </c>
      <c r="X9" s="317">
        <f t="shared" ref="X9:X12" si="12">V9-W9</f>
        <v>20480.529055490781</v>
      </c>
      <c r="Y9" s="317">
        <f>HLOOKUP($C$1,'Inflation Adjustments'!$BI$3:$BT$4,2)*AP9</f>
        <v>44783.156249999993</v>
      </c>
      <c r="Z9" s="317">
        <f>IF(AE9="In Service",Y9*'Maintenace Cost Assumptions'!$B$10,0)</f>
        <v>895.66312499999992</v>
      </c>
      <c r="AA9" s="318">
        <v>3</v>
      </c>
      <c r="AB9" s="318">
        <v>3</v>
      </c>
      <c r="AC9" s="318"/>
      <c r="AD9" s="332">
        <f>(AA9*'Condition rating weights'!H$147+AB9*'Condition rating weights'!R$147+AC9*'Condition rating weights'!S$147)/100</f>
        <v>0.6</v>
      </c>
      <c r="AE9" s="454" t="s">
        <v>1430</v>
      </c>
      <c r="AF9" s="255"/>
      <c r="AI9" s="306"/>
      <c r="AJ9" s="305"/>
      <c r="AK9" s="305"/>
      <c r="AL9" s="305"/>
      <c r="AM9" s="305"/>
      <c r="AN9" s="305"/>
      <c r="AO9" s="305"/>
      <c r="AP9" s="323">
        <f t="shared" ref="AP9:AP12" si="13">(HLOOKUP(F9,$AJ$4:$AL$5,2,FALSE))</f>
        <v>30000</v>
      </c>
      <c r="AQ9" s="325">
        <f>(HLOOKUP($O9,'Inflation Adjustments'!$B$3:$BT$4,2,TRUE))*AP9</f>
        <v>25600.661319363473</v>
      </c>
      <c r="AR9" s="326">
        <f t="shared" ref="AR9:AR12" si="14">IF(($C$1-O9-1)&lt;0,0,$C$1-O9-1)</f>
        <v>7</v>
      </c>
      <c r="AS9" s="323">
        <f t="shared" ref="AS9:AS12" si="15">(HLOOKUP(F9,$AM$4:$AO$5,2,FALSE))</f>
        <v>40</v>
      </c>
      <c r="AT9" s="327">
        <f t="shared" ref="AT9:AT12" si="16">AQ9/AS9</f>
        <v>640.01653298408678</v>
      </c>
      <c r="AU9" s="323">
        <f t="shared" ref="AU9:AU12" si="17">IF(AT9*$AR9&gt;AQ9,AQ9,AT9*$AR9)</f>
        <v>4480.1157308886077</v>
      </c>
      <c r="AV9" s="327">
        <f t="shared" ref="AV9:AV12" si="18">IF(AT9&lt;(AQ9-AU9),AT9,(AQ9-AU9))</f>
        <v>640.01653298408678</v>
      </c>
    </row>
    <row r="10" spans="1:48" ht="35" customHeight="1" x14ac:dyDescent="0.3">
      <c r="A10" s="330" t="s">
        <v>1354</v>
      </c>
      <c r="B10" s="318" t="s">
        <v>1228</v>
      </c>
      <c r="C10" s="318" t="s">
        <v>55</v>
      </c>
      <c r="D10" s="318" t="s">
        <v>17</v>
      </c>
      <c r="E10" s="318" t="s">
        <v>1227</v>
      </c>
      <c r="F10" s="318" t="s">
        <v>10</v>
      </c>
      <c r="G10" s="318" t="s">
        <v>724</v>
      </c>
      <c r="H10" s="318" t="s">
        <v>1128</v>
      </c>
      <c r="I10" s="318" t="s">
        <v>1129</v>
      </c>
      <c r="J10" s="318" t="s">
        <v>1190</v>
      </c>
      <c r="K10" s="318">
        <v>35</v>
      </c>
      <c r="L10" s="507">
        <f t="shared" si="0"/>
        <v>40</v>
      </c>
      <c r="M10" s="318">
        <v>1992</v>
      </c>
      <c r="N10" s="318" t="s">
        <v>800</v>
      </c>
      <c r="O10" s="318">
        <f t="shared" ref="O10:O11" si="19">M10</f>
        <v>1992</v>
      </c>
      <c r="P10" s="318" t="str">
        <f t="shared" si="8"/>
        <v>Estimated</v>
      </c>
      <c r="Q10" s="318"/>
      <c r="R10" s="318"/>
      <c r="S10" s="317">
        <f t="shared" si="1"/>
        <v>15528.758081475704</v>
      </c>
      <c r="T10" s="317" t="s">
        <v>800</v>
      </c>
      <c r="U10" s="317">
        <f t="shared" si="9"/>
        <v>11646.568561106777</v>
      </c>
      <c r="V10" s="317">
        <f t="shared" si="10"/>
        <v>3882.1895203689273</v>
      </c>
      <c r="W10" s="317">
        <f t="shared" si="11"/>
        <v>388.21895203689257</v>
      </c>
      <c r="X10" s="317">
        <f t="shared" si="12"/>
        <v>3493.9705683320349</v>
      </c>
      <c r="Y10" s="317">
        <f>HLOOKUP($C$1,'Inflation Adjustments'!$BI$3:$BT$4,2)*AP10</f>
        <v>67174.734375</v>
      </c>
      <c r="Z10" s="317">
        <f>IF(AE10="In Service",Y10*'Maintenace Cost Assumptions'!$B$10,0)</f>
        <v>1343.4946875000001</v>
      </c>
      <c r="AA10" s="318">
        <v>3</v>
      </c>
      <c r="AB10" s="318">
        <v>3</v>
      </c>
      <c r="AC10" s="318"/>
      <c r="AD10" s="332">
        <f>(AA10*'Condition rating weights'!H$147+AB10*'Condition rating weights'!R$147+AC10*'Condition rating weights'!S$147)/100</f>
        <v>0.6</v>
      </c>
      <c r="AE10" s="454" t="s">
        <v>1430</v>
      </c>
      <c r="AF10" s="255"/>
      <c r="AI10" s="306"/>
      <c r="AJ10" s="305"/>
      <c r="AK10" s="305"/>
      <c r="AL10" s="305"/>
      <c r="AM10" s="305"/>
      <c r="AN10" s="305"/>
      <c r="AO10" s="305"/>
      <c r="AP10" s="323">
        <f t="shared" si="13"/>
        <v>45000</v>
      </c>
      <c r="AQ10" s="325">
        <f>(HLOOKUP($O10,'Inflation Adjustments'!$B$3:$BT$4,2,TRUE))*AP10</f>
        <v>15528.758081475704</v>
      </c>
      <c r="AR10" s="326">
        <f t="shared" si="14"/>
        <v>30</v>
      </c>
      <c r="AS10" s="323">
        <f t="shared" si="15"/>
        <v>40</v>
      </c>
      <c r="AT10" s="327">
        <f t="shared" si="16"/>
        <v>388.21895203689257</v>
      </c>
      <c r="AU10" s="323">
        <f t="shared" si="17"/>
        <v>11646.568561106777</v>
      </c>
      <c r="AV10" s="327">
        <f t="shared" si="18"/>
        <v>388.21895203689257</v>
      </c>
    </row>
    <row r="11" spans="1:48" ht="35" customHeight="1" x14ac:dyDescent="0.3">
      <c r="A11" s="330" t="s">
        <v>1355</v>
      </c>
      <c r="B11" s="318" t="s">
        <v>1197</v>
      </c>
      <c r="C11" s="318" t="s">
        <v>55</v>
      </c>
      <c r="D11" s="318" t="s">
        <v>17</v>
      </c>
      <c r="E11" s="318" t="s">
        <v>1227</v>
      </c>
      <c r="F11" s="318" t="s">
        <v>10</v>
      </c>
      <c r="G11" s="318" t="s">
        <v>724</v>
      </c>
      <c r="H11" s="318" t="s">
        <v>1128</v>
      </c>
      <c r="I11" s="318" t="s">
        <v>1129</v>
      </c>
      <c r="J11" s="318" t="s">
        <v>1190</v>
      </c>
      <c r="K11" s="318">
        <v>35</v>
      </c>
      <c r="L11" s="507">
        <f t="shared" si="0"/>
        <v>40</v>
      </c>
      <c r="M11" s="318">
        <v>1992</v>
      </c>
      <c r="N11" s="318" t="s">
        <v>800</v>
      </c>
      <c r="O11" s="318">
        <f t="shared" si="19"/>
        <v>1992</v>
      </c>
      <c r="P11" s="318" t="str">
        <f t="shared" si="8"/>
        <v>Estimated</v>
      </c>
      <c r="Q11" s="318"/>
      <c r="R11" s="318"/>
      <c r="S11" s="317">
        <f t="shared" si="1"/>
        <v>15528.758081475704</v>
      </c>
      <c r="T11" s="317" t="s">
        <v>800</v>
      </c>
      <c r="U11" s="317">
        <f t="shared" si="9"/>
        <v>11646.568561106777</v>
      </c>
      <c r="V11" s="317">
        <f t="shared" si="10"/>
        <v>3882.1895203689273</v>
      </c>
      <c r="W11" s="317">
        <f t="shared" si="11"/>
        <v>388.21895203689257</v>
      </c>
      <c r="X11" s="317">
        <f t="shared" si="12"/>
        <v>3493.9705683320349</v>
      </c>
      <c r="Y11" s="317">
        <f>HLOOKUP($C$1,'Inflation Adjustments'!$BI$3:$BT$4,2)*AP11</f>
        <v>67174.734375</v>
      </c>
      <c r="Z11" s="317">
        <f>IF(AE11="In Service",Y11*'Maintenace Cost Assumptions'!$B$10,0)</f>
        <v>1343.4946875000001</v>
      </c>
      <c r="AA11" s="318">
        <v>3</v>
      </c>
      <c r="AB11" s="318">
        <v>3</v>
      </c>
      <c r="AC11" s="318"/>
      <c r="AD11" s="332">
        <f>(AA11*'Condition rating weights'!H$147+AB11*'Condition rating weights'!R$147+AC11*'Condition rating weights'!S$147)/100</f>
        <v>0.6</v>
      </c>
      <c r="AE11" s="454" t="s">
        <v>1430</v>
      </c>
      <c r="AF11" s="255"/>
      <c r="AI11" s="306"/>
      <c r="AJ11" s="305"/>
      <c r="AK11" s="305"/>
      <c r="AL11" s="305"/>
      <c r="AM11" s="305"/>
      <c r="AN11" s="305"/>
      <c r="AO11" s="305"/>
      <c r="AP11" s="323">
        <f t="shared" si="13"/>
        <v>45000</v>
      </c>
      <c r="AQ11" s="325">
        <f>(HLOOKUP($O11,'Inflation Adjustments'!$B$3:$BT$4,2,TRUE))*AP11</f>
        <v>15528.758081475704</v>
      </c>
      <c r="AR11" s="326">
        <f t="shared" si="14"/>
        <v>30</v>
      </c>
      <c r="AS11" s="323">
        <f t="shared" si="15"/>
        <v>40</v>
      </c>
      <c r="AT11" s="327">
        <f t="shared" si="16"/>
        <v>388.21895203689257</v>
      </c>
      <c r="AU11" s="323">
        <f t="shared" si="17"/>
        <v>11646.568561106777</v>
      </c>
      <c r="AV11" s="327">
        <f t="shared" si="18"/>
        <v>388.21895203689257</v>
      </c>
    </row>
    <row r="12" spans="1:48" ht="35" customHeight="1" x14ac:dyDescent="0.3">
      <c r="A12" s="330" t="s">
        <v>1356</v>
      </c>
      <c r="B12" s="318" t="s">
        <v>1200</v>
      </c>
      <c r="C12" s="318" t="s">
        <v>324</v>
      </c>
      <c r="D12" s="318" t="s">
        <v>161</v>
      </c>
      <c r="E12" s="318" t="s">
        <v>162</v>
      </c>
      <c r="F12" s="318" t="s">
        <v>11</v>
      </c>
      <c r="G12" s="318" t="s">
        <v>724</v>
      </c>
      <c r="H12" s="318" t="s">
        <v>1198</v>
      </c>
      <c r="I12" s="318" t="s">
        <v>1199</v>
      </c>
      <c r="J12" s="318" t="s">
        <v>1190</v>
      </c>
      <c r="K12" s="318">
        <v>25</v>
      </c>
      <c r="L12" s="507">
        <f t="shared" si="0"/>
        <v>40</v>
      </c>
      <c r="M12" s="318">
        <v>2009</v>
      </c>
      <c r="N12" s="318" t="s">
        <v>800</v>
      </c>
      <c r="O12" s="318">
        <f t="shared" ref="O12:O13" si="20">M12</f>
        <v>2009</v>
      </c>
      <c r="P12" s="318" t="str">
        <f t="shared" si="8"/>
        <v>Estimated</v>
      </c>
      <c r="Q12" s="318"/>
      <c r="R12" s="318"/>
      <c r="S12" s="317">
        <f t="shared" si="1"/>
        <v>23381.086849139116</v>
      </c>
      <c r="T12" s="317" t="s">
        <v>800</v>
      </c>
      <c r="U12" s="317">
        <f t="shared" si="9"/>
        <v>7598.8532259702124</v>
      </c>
      <c r="V12" s="317">
        <f t="shared" si="10"/>
        <v>15782.233623168904</v>
      </c>
      <c r="W12" s="317">
        <f t="shared" si="11"/>
        <v>584.52717122847787</v>
      </c>
      <c r="X12" s="317">
        <f t="shared" si="12"/>
        <v>15197.706451940427</v>
      </c>
      <c r="Y12" s="317">
        <f>HLOOKUP($C$1,'Inflation Adjustments'!$BI$3:$BT$4,2)*AP12</f>
        <v>44783.156249999993</v>
      </c>
      <c r="Z12" s="317">
        <f>IF(AE12="In Service",Y12*'Maintenace Cost Assumptions'!$B$10,0)</f>
        <v>895.66312499999992</v>
      </c>
      <c r="AA12" s="318">
        <v>3</v>
      </c>
      <c r="AB12" s="318">
        <v>3</v>
      </c>
      <c r="AC12" s="318"/>
      <c r="AD12" s="332">
        <f>(AA12*'Condition rating weights'!H$147+AB12*'Condition rating weights'!R$147+AC12*'Condition rating weights'!S$147)/100</f>
        <v>0.6</v>
      </c>
      <c r="AE12" s="454" t="s">
        <v>1430</v>
      </c>
      <c r="AF12" s="255"/>
      <c r="AI12" s="306"/>
      <c r="AJ12" s="305"/>
      <c r="AK12" s="305"/>
      <c r="AL12" s="305"/>
      <c r="AM12" s="305"/>
      <c r="AN12" s="305"/>
      <c r="AO12" s="305"/>
      <c r="AP12" s="323">
        <f t="shared" si="13"/>
        <v>30000</v>
      </c>
      <c r="AQ12" s="325">
        <f>(HLOOKUP($O12,'Inflation Adjustments'!$B$3:$BT$4,2,TRUE))*AP12</f>
        <v>23381.086849139116</v>
      </c>
      <c r="AR12" s="326">
        <f t="shared" si="14"/>
        <v>13</v>
      </c>
      <c r="AS12" s="323">
        <f t="shared" si="15"/>
        <v>40</v>
      </c>
      <c r="AT12" s="327">
        <f t="shared" si="16"/>
        <v>584.52717122847787</v>
      </c>
      <c r="AU12" s="323">
        <f t="shared" si="17"/>
        <v>7598.8532259702124</v>
      </c>
      <c r="AV12" s="327">
        <f t="shared" si="18"/>
        <v>584.52717122847787</v>
      </c>
    </row>
    <row r="13" spans="1:48" ht="35" customHeight="1" x14ac:dyDescent="0.3">
      <c r="A13" s="330" t="s">
        <v>1357</v>
      </c>
      <c r="B13" s="318" t="s">
        <v>1267</v>
      </c>
      <c r="C13" s="318" t="s">
        <v>324</v>
      </c>
      <c r="D13" s="318" t="s">
        <v>161</v>
      </c>
      <c r="E13" s="318" t="s">
        <v>163</v>
      </c>
      <c r="F13" s="318"/>
      <c r="G13" s="318" t="s">
        <v>724</v>
      </c>
      <c r="H13" s="331" t="s">
        <v>1019</v>
      </c>
      <c r="I13" s="331" t="s">
        <v>1201</v>
      </c>
      <c r="J13" s="318"/>
      <c r="K13" s="318"/>
      <c r="L13" s="318">
        <f>'GRC and TUL Assumptions'!E100</f>
        <v>10</v>
      </c>
      <c r="M13" s="318">
        <v>2015</v>
      </c>
      <c r="N13" s="318" t="s">
        <v>800</v>
      </c>
      <c r="O13" s="318">
        <f t="shared" si="20"/>
        <v>2015</v>
      </c>
      <c r="P13" s="318" t="str">
        <f t="shared" si="8"/>
        <v>Estimated</v>
      </c>
      <c r="Q13" s="318"/>
      <c r="R13" s="318"/>
      <c r="S13" s="317">
        <v>150000</v>
      </c>
      <c r="T13" s="317" t="s">
        <v>800</v>
      </c>
      <c r="U13" s="317">
        <f t="shared" ref="U13:U14" si="21">AU13</f>
        <v>105000</v>
      </c>
      <c r="V13" s="317">
        <f t="shared" ref="V13:V14" si="22">S13-U13</f>
        <v>45000</v>
      </c>
      <c r="W13" s="317">
        <f t="shared" ref="W13:W14" si="23">AV13</f>
        <v>15000</v>
      </c>
      <c r="X13" s="317">
        <f t="shared" ref="X13:X14" si="24">V13-W13</f>
        <v>30000</v>
      </c>
      <c r="Y13" s="317">
        <f>HLOOKUP($C$1,'Inflation Adjustments'!$BI$3:$BT$4,2)*AP13</f>
        <v>262394.52777023107</v>
      </c>
      <c r="Z13" s="317">
        <f>IF(AE13="In Service",Y13*'Maintenace Cost Assumptions'!$B$10,0)</f>
        <v>5247.8905554046214</v>
      </c>
      <c r="AA13" s="318">
        <v>3</v>
      </c>
      <c r="AB13" s="318">
        <v>3</v>
      </c>
      <c r="AC13" s="318"/>
      <c r="AD13" s="332">
        <f>(AA13*'Condition rating weights'!H$147+AB13*'Condition rating weights'!R$147+AC13*'Condition rating weights'!S$147)/100</f>
        <v>0.6</v>
      </c>
      <c r="AE13" s="454" t="s">
        <v>1430</v>
      </c>
      <c r="AF13" s="255"/>
      <c r="AI13" s="306"/>
      <c r="AJ13" s="305"/>
      <c r="AK13" s="305"/>
      <c r="AL13" s="305"/>
      <c r="AM13" s="305"/>
      <c r="AN13" s="305"/>
      <c r="AO13" s="305"/>
      <c r="AP13" s="323">
        <f>S13/HLOOKUP(O13,'Inflation Adjustments'!$B$3:$BI$4,2)</f>
        <v>175776.70919759999</v>
      </c>
      <c r="AQ13" s="325">
        <f>(HLOOKUP($O13,'Inflation Adjustments'!$B$3:$BT$4,2,TRUE))*AP13</f>
        <v>150000</v>
      </c>
      <c r="AR13" s="326">
        <f t="shared" ref="AR13:AR14" si="25">IF(($C$1-O13-1)&lt;0,0,$C$1-O13-1)</f>
        <v>7</v>
      </c>
      <c r="AS13" s="323">
        <f>L13</f>
        <v>10</v>
      </c>
      <c r="AT13" s="327">
        <f t="shared" ref="AT13:AT14" si="26">AQ13/AS13</f>
        <v>15000</v>
      </c>
      <c r="AU13" s="323">
        <f t="shared" ref="AU13:AU14" si="27">IF(AT13*$AR13&gt;AQ13,AQ13,AT13*$AR13)</f>
        <v>105000</v>
      </c>
      <c r="AV13" s="327">
        <f t="shared" ref="AV13:AV14" si="28">IF(AT13&lt;(AQ13-AU13),AT13,(AQ13-AU13))</f>
        <v>15000</v>
      </c>
    </row>
    <row r="14" spans="1:48" ht="35" customHeight="1" x14ac:dyDescent="0.3">
      <c r="A14" s="330" t="s">
        <v>1358</v>
      </c>
      <c r="B14" s="318" t="s">
        <v>1268</v>
      </c>
      <c r="C14" s="318" t="s">
        <v>324</v>
      </c>
      <c r="D14" s="318" t="s">
        <v>161</v>
      </c>
      <c r="E14" s="318" t="s">
        <v>315</v>
      </c>
      <c r="F14" s="318"/>
      <c r="G14" s="318" t="s">
        <v>724</v>
      </c>
      <c r="H14" s="318" t="s">
        <v>1019</v>
      </c>
      <c r="I14" s="318" t="s">
        <v>1020</v>
      </c>
      <c r="J14" s="318"/>
      <c r="K14" s="318"/>
      <c r="L14" s="318">
        <f>'GRC and TUL Assumptions'!E101</f>
        <v>10</v>
      </c>
      <c r="M14" s="318">
        <v>2015</v>
      </c>
      <c r="N14" s="318" t="s">
        <v>800</v>
      </c>
      <c r="O14" s="318">
        <f t="shared" ref="O14" si="29">M14</f>
        <v>2015</v>
      </c>
      <c r="P14" s="318" t="s">
        <v>800</v>
      </c>
      <c r="Q14" s="318"/>
      <c r="R14" s="318"/>
      <c r="S14" s="317">
        <v>150000</v>
      </c>
      <c r="T14" s="317" t="s">
        <v>800</v>
      </c>
      <c r="U14" s="317">
        <f t="shared" si="21"/>
        <v>105000</v>
      </c>
      <c r="V14" s="317">
        <f t="shared" si="22"/>
        <v>45000</v>
      </c>
      <c r="W14" s="317">
        <f t="shared" si="23"/>
        <v>15000</v>
      </c>
      <c r="X14" s="317">
        <f t="shared" si="24"/>
        <v>30000</v>
      </c>
      <c r="Y14" s="317">
        <f>HLOOKUP($C$1,'Inflation Adjustments'!$BI$3:$BT$4,2)*AP14</f>
        <v>262394.52777023107</v>
      </c>
      <c r="Z14" s="317">
        <f>IF(AE14="In Service",Y14*'Maintenace Cost Assumptions'!$B$10,0)</f>
        <v>5247.8905554046214</v>
      </c>
      <c r="AA14" s="318">
        <v>3</v>
      </c>
      <c r="AB14" s="318">
        <v>3</v>
      </c>
      <c r="AC14" s="318"/>
      <c r="AD14" s="332">
        <f>(AA14*'Condition rating weights'!H$147+AB14*'Condition rating weights'!R$147+AC14*'Condition rating weights'!S$147)/100</f>
        <v>0.6</v>
      </c>
      <c r="AE14" s="454" t="s">
        <v>1430</v>
      </c>
      <c r="AF14" s="255"/>
      <c r="AI14" s="306"/>
      <c r="AJ14" s="305"/>
      <c r="AK14" s="305"/>
      <c r="AL14" s="305"/>
      <c r="AM14" s="305"/>
      <c r="AN14" s="305"/>
      <c r="AO14" s="305"/>
      <c r="AP14" s="323">
        <f>S14/HLOOKUP(O14,'Inflation Adjustments'!$B$3:$BI$4,2)</f>
        <v>175776.70919759999</v>
      </c>
      <c r="AQ14" s="325">
        <f>(HLOOKUP($O14,'Inflation Adjustments'!$B$3:$BT$4,2,TRUE))*AP14</f>
        <v>150000</v>
      </c>
      <c r="AR14" s="326">
        <f t="shared" si="25"/>
        <v>7</v>
      </c>
      <c r="AS14" s="323">
        <f>L14</f>
        <v>10</v>
      </c>
      <c r="AT14" s="327">
        <f t="shared" si="26"/>
        <v>15000</v>
      </c>
      <c r="AU14" s="323">
        <f t="shared" si="27"/>
        <v>105000</v>
      </c>
      <c r="AV14" s="327">
        <f t="shared" si="28"/>
        <v>15000</v>
      </c>
    </row>
    <row r="15" spans="1:48" ht="56.5" customHeight="1" x14ac:dyDescent="0.3">
      <c r="A15" s="330"/>
      <c r="B15" s="318"/>
      <c r="C15" s="318"/>
      <c r="D15" s="318"/>
      <c r="E15" s="318"/>
      <c r="F15" s="318"/>
      <c r="G15" s="318"/>
      <c r="H15" s="318"/>
      <c r="I15" s="318"/>
      <c r="J15" s="318"/>
      <c r="K15" s="318"/>
      <c r="L15" s="318"/>
      <c r="M15" s="318"/>
      <c r="N15" s="318"/>
      <c r="O15" s="318"/>
      <c r="P15" s="318"/>
      <c r="Q15" s="318"/>
      <c r="R15" s="318"/>
      <c r="S15" s="317"/>
      <c r="T15" s="317"/>
      <c r="U15" s="317"/>
      <c r="V15" s="317"/>
      <c r="W15" s="317"/>
      <c r="X15" s="317"/>
      <c r="Y15" s="317"/>
      <c r="Z15" s="317"/>
      <c r="AA15" s="318"/>
      <c r="AB15" s="318"/>
      <c r="AC15" s="318"/>
      <c r="AD15" s="318"/>
      <c r="AE15" s="454"/>
      <c r="AF15" s="255"/>
      <c r="AM15" s="290"/>
      <c r="AP15" s="323"/>
      <c r="AQ15" s="325"/>
      <c r="AR15" s="326"/>
      <c r="AS15" s="323"/>
      <c r="AT15" s="327"/>
      <c r="AU15" s="323"/>
      <c r="AV15" s="327"/>
    </row>
    <row r="16" spans="1:48" ht="41.5" customHeight="1" x14ac:dyDescent="0.3">
      <c r="A16" s="330"/>
      <c r="B16" s="318"/>
      <c r="C16" s="318"/>
      <c r="D16" s="318"/>
      <c r="E16" s="318"/>
      <c r="F16" s="318"/>
      <c r="G16" s="318"/>
      <c r="H16" s="318"/>
      <c r="I16" s="318"/>
      <c r="J16" s="318"/>
      <c r="K16" s="318"/>
      <c r="L16" s="318"/>
      <c r="M16" s="318"/>
      <c r="N16" s="318"/>
      <c r="O16" s="318"/>
      <c r="P16" s="318"/>
      <c r="Q16" s="318"/>
      <c r="R16" s="318"/>
      <c r="S16" s="317"/>
      <c r="T16" s="317"/>
      <c r="U16" s="317"/>
      <c r="V16" s="317"/>
      <c r="W16" s="317"/>
      <c r="X16" s="317"/>
      <c r="Y16" s="317"/>
      <c r="Z16" s="317"/>
      <c r="AA16" s="318"/>
      <c r="AB16" s="318"/>
      <c r="AC16" s="318"/>
      <c r="AD16" s="318"/>
      <c r="AE16" s="454"/>
      <c r="AF16" s="255"/>
      <c r="AP16" s="323"/>
      <c r="AQ16" s="325"/>
      <c r="AR16" s="326"/>
      <c r="AS16" s="323"/>
      <c r="AT16" s="327"/>
      <c r="AU16" s="323"/>
      <c r="AV16" s="327"/>
    </row>
    <row r="17" spans="1:48" ht="41.5" customHeight="1" x14ac:dyDescent="0.3">
      <c r="A17" s="330"/>
      <c r="B17" s="318"/>
      <c r="C17" s="318"/>
      <c r="D17" s="318"/>
      <c r="E17" s="318"/>
      <c r="F17" s="318"/>
      <c r="G17" s="318"/>
      <c r="H17" s="318"/>
      <c r="I17" s="318"/>
      <c r="J17" s="318"/>
      <c r="K17" s="318"/>
      <c r="L17" s="318"/>
      <c r="M17" s="318"/>
      <c r="N17" s="318"/>
      <c r="O17" s="318"/>
      <c r="P17" s="318"/>
      <c r="Q17" s="318"/>
      <c r="R17" s="318"/>
      <c r="S17" s="317"/>
      <c r="T17" s="317"/>
      <c r="U17" s="317"/>
      <c r="V17" s="317"/>
      <c r="W17" s="317"/>
      <c r="X17" s="317"/>
      <c r="Y17" s="317"/>
      <c r="Z17" s="317"/>
      <c r="AA17" s="318"/>
      <c r="AB17" s="318"/>
      <c r="AC17" s="318"/>
      <c r="AD17" s="318"/>
      <c r="AE17" s="454"/>
      <c r="AF17" s="255"/>
      <c r="AP17" s="323"/>
      <c r="AQ17" s="325"/>
      <c r="AR17" s="326"/>
      <c r="AS17" s="323"/>
      <c r="AT17" s="327"/>
      <c r="AU17" s="323"/>
      <c r="AV17" s="327"/>
    </row>
    <row r="18" spans="1:48" ht="41.5" customHeight="1" x14ac:dyDescent="0.3">
      <c r="A18" s="330"/>
      <c r="B18" s="318"/>
      <c r="C18" s="318"/>
      <c r="D18" s="318"/>
      <c r="E18" s="318"/>
      <c r="F18" s="318"/>
      <c r="G18" s="318"/>
      <c r="H18" s="318"/>
      <c r="I18" s="318"/>
      <c r="J18" s="318"/>
      <c r="K18" s="318"/>
      <c r="L18" s="318"/>
      <c r="M18" s="318"/>
      <c r="N18" s="318"/>
      <c r="O18" s="318"/>
      <c r="P18" s="318"/>
      <c r="Q18" s="318"/>
      <c r="R18" s="318"/>
      <c r="S18" s="317"/>
      <c r="T18" s="317"/>
      <c r="U18" s="317"/>
      <c r="V18" s="317"/>
      <c r="W18" s="317"/>
      <c r="X18" s="317"/>
      <c r="Y18" s="317"/>
      <c r="Z18" s="317"/>
      <c r="AA18" s="318"/>
      <c r="AB18" s="318"/>
      <c r="AC18" s="318"/>
      <c r="AD18" s="318"/>
      <c r="AE18" s="454"/>
      <c r="AF18" s="255"/>
      <c r="AP18" s="323"/>
      <c r="AQ18" s="325"/>
      <c r="AR18" s="326"/>
      <c r="AS18" s="323"/>
      <c r="AT18" s="327"/>
      <c r="AU18" s="323"/>
      <c r="AV18" s="327"/>
    </row>
    <row r="19" spans="1:48" ht="59.5" customHeight="1" x14ac:dyDescent="0.3">
      <c r="A19" s="330"/>
      <c r="B19" s="318"/>
      <c r="C19" s="318"/>
      <c r="D19" s="318"/>
      <c r="E19" s="318"/>
      <c r="F19" s="318"/>
      <c r="G19" s="318"/>
      <c r="H19" s="318"/>
      <c r="I19" s="318"/>
      <c r="J19" s="318"/>
      <c r="K19" s="318"/>
      <c r="L19" s="318"/>
      <c r="M19" s="318"/>
      <c r="N19" s="318"/>
      <c r="O19" s="318"/>
      <c r="P19" s="318"/>
      <c r="Q19" s="318"/>
      <c r="R19" s="318"/>
      <c r="S19" s="317"/>
      <c r="T19" s="317"/>
      <c r="U19" s="317"/>
      <c r="V19" s="317"/>
      <c r="W19" s="317"/>
      <c r="X19" s="317"/>
      <c r="Y19" s="317"/>
      <c r="Z19" s="317"/>
      <c r="AA19" s="318"/>
      <c r="AB19" s="318"/>
      <c r="AC19" s="318"/>
      <c r="AD19" s="318"/>
      <c r="AE19" s="454"/>
      <c r="AF19" s="255"/>
      <c r="AP19" s="323"/>
      <c r="AQ19" s="325"/>
      <c r="AR19" s="326"/>
      <c r="AS19" s="323"/>
      <c r="AT19" s="327"/>
      <c r="AU19" s="323"/>
      <c r="AV19" s="327"/>
    </row>
    <row r="20" spans="1:48" ht="59.5" customHeight="1" x14ac:dyDescent="0.3">
      <c r="A20" s="330"/>
      <c r="B20" s="318"/>
      <c r="C20" s="318"/>
      <c r="D20" s="318"/>
      <c r="E20" s="318"/>
      <c r="F20" s="318"/>
      <c r="G20" s="318"/>
      <c r="H20" s="318"/>
      <c r="I20" s="318"/>
      <c r="J20" s="318"/>
      <c r="K20" s="318"/>
      <c r="L20" s="318"/>
      <c r="M20" s="318"/>
      <c r="N20" s="318"/>
      <c r="O20" s="318"/>
      <c r="P20" s="318"/>
      <c r="Q20" s="318"/>
      <c r="R20" s="318"/>
      <c r="S20" s="317"/>
      <c r="T20" s="317"/>
      <c r="U20" s="317"/>
      <c r="V20" s="317"/>
      <c r="W20" s="317"/>
      <c r="X20" s="317"/>
      <c r="Y20" s="317"/>
      <c r="Z20" s="317"/>
      <c r="AA20" s="318"/>
      <c r="AB20" s="318"/>
      <c r="AC20" s="318"/>
      <c r="AD20" s="318"/>
      <c r="AE20" s="454"/>
      <c r="AF20" s="255"/>
      <c r="AP20" s="323"/>
      <c r="AQ20" s="325"/>
      <c r="AR20" s="326"/>
      <c r="AS20" s="323"/>
      <c r="AT20" s="327"/>
      <c r="AU20" s="323"/>
      <c r="AV20" s="327"/>
    </row>
    <row r="21" spans="1:48" x14ac:dyDescent="0.3">
      <c r="A21" s="255"/>
      <c r="B21" s="255"/>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P21" s="340"/>
      <c r="AQ21" s="341"/>
    </row>
    <row r="22" spans="1:48" x14ac:dyDescent="0.3">
      <c r="A22" s="255"/>
      <c r="B22" s="255"/>
      <c r="C22" s="255"/>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row>
    <row r="23" spans="1:48" x14ac:dyDescent="0.3">
      <c r="Z23" s="343"/>
    </row>
    <row r="25" spans="1:48" ht="36.5" customHeight="1" x14ac:dyDescent="0.3">
      <c r="M25" s="492"/>
      <c r="N25" s="492"/>
      <c r="O25" s="492"/>
      <c r="P25" s="492"/>
      <c r="Q25" s="492"/>
      <c r="R25" s="492"/>
      <c r="S25" s="492">
        <f>SUM(S5:S14)</f>
        <v>483587.48707372561</v>
      </c>
      <c r="T25" s="492">
        <f>SUM(T5:T14)</f>
        <v>0</v>
      </c>
      <c r="U25" s="492">
        <f t="shared" ref="U25:Z25" si="30">SUM(U5:U14)</f>
        <v>274288.79704931891</v>
      </c>
      <c r="V25" s="492">
        <f t="shared" si="30"/>
        <v>209298.69002440671</v>
      </c>
      <c r="W25" s="492">
        <f t="shared" si="30"/>
        <v>34589.687176843145</v>
      </c>
      <c r="X25" s="492">
        <f t="shared" si="30"/>
        <v>174709.00284756359</v>
      </c>
      <c r="Y25" s="492">
        <f t="shared" si="30"/>
        <v>957692.89929046202</v>
      </c>
      <c r="Z25" s="492">
        <f t="shared" si="30"/>
        <v>19153.857985809242</v>
      </c>
    </row>
  </sheetData>
  <mergeCells count="20">
    <mergeCell ref="A2:I2"/>
    <mergeCell ref="J2:K2"/>
    <mergeCell ref="Y2:AD2"/>
    <mergeCell ref="A1:B1"/>
    <mergeCell ref="AA3:AA4"/>
    <mergeCell ref="AT2:AU2"/>
    <mergeCell ref="J3:K3"/>
    <mergeCell ref="M3:N3"/>
    <mergeCell ref="O3:P3"/>
    <mergeCell ref="S3:T3"/>
    <mergeCell ref="L2:X2"/>
    <mergeCell ref="AB3:AB4"/>
    <mergeCell ref="AC3:AC4"/>
    <mergeCell ref="U3:U4"/>
    <mergeCell ref="V3:V4"/>
    <mergeCell ref="W3:W4"/>
    <mergeCell ref="X3:X4"/>
    <mergeCell ref="Y3:Y4"/>
    <mergeCell ref="AE3:AE4"/>
    <mergeCell ref="Z3:Z4"/>
  </mergeCells>
  <conditionalFormatting sqref="AA5:AB14">
    <cfRule type="cellIs" dxfId="9" priority="7" operator="equal">
      <formula>1</formula>
    </cfRule>
    <cfRule type="cellIs" dxfId="8" priority="8" operator="equal">
      <formula>2</formula>
    </cfRule>
    <cfRule type="cellIs" dxfId="7" priority="9" operator="equal">
      <formula>3</formula>
    </cfRule>
    <cfRule type="cellIs" dxfId="6" priority="10" operator="greaterThan">
      <formula>3.9</formula>
    </cfRule>
  </conditionalFormatting>
  <conditionalFormatting sqref="AD5:AD14">
    <cfRule type="cellIs" dxfId="5" priority="1" operator="between">
      <formula>0.3</formula>
      <formula>0.5</formula>
    </cfRule>
    <cfRule type="cellIs" dxfId="4" priority="2" operator="lessThan">
      <formula>0.3</formula>
    </cfRule>
    <cfRule type="cellIs" dxfId="3" priority="3" operator="between">
      <formula>0.3</formula>
      <formula>0.5</formula>
    </cfRule>
    <cfRule type="cellIs" dxfId="2" priority="4" operator="between">
      <formula>0.5</formula>
      <formula>0.6</formula>
    </cfRule>
    <cfRule type="cellIs" dxfId="1" priority="5" operator="greaterThan">
      <formula>0.6</formula>
    </cfRule>
    <cfRule type="cellIs" dxfId="0" priority="6" operator="lessThan">
      <formula>0.5</formula>
    </cfRule>
  </conditionalFormatting>
  <dataValidations count="4">
    <dataValidation type="list" allowBlank="1" showInputMessage="1" showErrorMessage="1" sqref="F19:F20 F14" xr:uid="{CCCAA708-AD1B-4604-AE70-BE1329E236AF}">
      <formula1>$H$4:$H$21</formula1>
    </dataValidation>
    <dataValidation type="list" allowBlank="1" showInputMessage="1" showErrorMessage="1" sqref="D15" xr:uid="{85B1935F-4AE8-47D9-8864-26AF1CE6E2AC}">
      <formula1>$D$4:$D$19</formula1>
    </dataValidation>
    <dataValidation type="list" allowBlank="1" showInputMessage="1" showErrorMessage="1" sqref="D12:D14" xr:uid="{200537CD-8D7E-408D-BD29-84134B6C7060}">
      <formula1>$D$163:$D$167</formula1>
    </dataValidation>
    <dataValidation type="list" allowBlank="1" showInputMessage="1" showErrorMessage="1" sqref="E12" xr:uid="{ADF65FDE-674F-4E52-BF42-8E2565EB05B8}">
      <formula1>$E$163:$E$165</formula1>
    </dataValidation>
  </dataValidations>
  <pageMargins left="0.7" right="0.7" top="0.75" bottom="0.75" header="0.3" footer="0.3"/>
  <pageSetup orientation="portrait" horizontalDpi="4294967293" verticalDpi="0" r:id="rId1"/>
  <headerFooter>
    <oddFooter>&amp;C_x000D_&amp;1#&amp;"Calibri"&amp;8&amp;K000000 INTERNAL. This information is accessible to ADB Management and staff. It may be shared outside ADB with appropriate permission.</oddFooter>
  </headerFooter>
  <extLst>
    <ext xmlns:x14="http://schemas.microsoft.com/office/spreadsheetml/2009/9/main" uri="{CCE6A557-97BC-4b89-ADB6-D9C93CAAB3DF}">
      <x14:dataValidations xmlns:xm="http://schemas.microsoft.com/office/excel/2006/main" count="9">
        <x14:dataValidation type="list" allowBlank="1" showInputMessage="1" showErrorMessage="1" xr:uid="{3AFEA6D4-CC91-4E99-82D7-CFF5CA0430A3}">
          <x14:formula1>
            <xm:f>'Inflation Adjustments'!$B$3:$BT$3</xm:f>
          </x14:formula1>
          <xm:sqref>M16 M5 M19:M21 M7:M12</xm:sqref>
        </x14:dataValidation>
        <x14:dataValidation type="list" allowBlank="1" showInputMessage="1" showErrorMessage="1" xr:uid="{ECAC127C-56B9-4868-BD75-CC18950BAB28}">
          <x14:formula1>
            <xm:f>'Condition rating weights'!$C$29:$C$34</xm:f>
          </x14:formula1>
          <xm:sqref>AA5:AC20</xm:sqref>
        </x14:dataValidation>
        <x14:dataValidation type="list" allowBlank="1" showInputMessage="1" showErrorMessage="1" xr:uid="{CC7B289C-E6E6-4C1B-B8E1-99D5B7B2E6FF}">
          <x14:formula1>
            <xm:f>'AR-Hierarchy '!$D$168:$D$172</xm:f>
          </x14:formula1>
          <xm:sqref>D5:D9</xm:sqref>
        </x14:dataValidation>
        <x14:dataValidation type="list" allowBlank="1" showInputMessage="1" showErrorMessage="1" xr:uid="{41C111C7-3896-4CD8-8BA8-5E807CEBF306}">
          <x14:formula1>
            <xm:f>'AR-Hierarchy '!$E$168:$E$170</xm:f>
          </x14:formula1>
          <xm:sqref>E5:E9</xm:sqref>
        </x14:dataValidation>
        <x14:dataValidation type="list" allowBlank="1" showInputMessage="1" showErrorMessage="1" xr:uid="{4972586F-FDB3-4215-B3C2-D610A58A1827}">
          <x14:formula1>
            <xm:f>'AR-Hierarchy '!$H$168:$H$170</xm:f>
          </x14:formula1>
          <xm:sqref>F5:F12</xm:sqref>
        </x14:dataValidation>
        <x14:dataValidation type="list" allowBlank="1" showInputMessage="1" showErrorMessage="1" xr:uid="{CD671E38-17E3-47F9-9B9C-CEBE4585451D}">
          <x14:formula1>
            <xm:f>'AR-Hierarchy '!$E$168:$E$172</xm:f>
          </x14:formula1>
          <xm:sqref>E13:E14</xm:sqref>
        </x14:dataValidation>
        <x14:dataValidation type="list" allowBlank="1" showInputMessage="1" showErrorMessage="1" xr:uid="{3B67E5D5-AC5E-4941-B065-44FE173DFE40}">
          <x14:formula1>
            <xm:f>'AR-Hierarchy '!$H$4:$H$20</xm:f>
          </x14:formula1>
          <xm:sqref>F16</xm:sqref>
        </x14:dataValidation>
        <x14:dataValidation type="list" allowBlank="1" showInputMessage="1" showErrorMessage="1" xr:uid="{6D005606-6E20-4479-96E7-5C42A3EE1AD2}">
          <x14:formula1>
            <xm:f>'AR-Hierarchy '!$D$4:$D$33</xm:f>
          </x14:formula1>
          <xm:sqref>D17:D18</xm:sqref>
        </x14:dataValidation>
        <x14:dataValidation type="list" allowBlank="1" showInputMessage="1" showErrorMessage="1" xr:uid="{92D2654F-6A63-4279-A572-16A1AD14949C}">
          <x14:formula1>
            <xm:f>'AR-Hierarchy '!$B$4:$B$53</xm:f>
          </x14:formula1>
          <xm:sqref>C5:C14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02B5F-CBF9-44FB-8BE0-FB4B7A0C84E6}">
  <dimension ref="A1:O117"/>
  <sheetViews>
    <sheetView topLeftCell="A66" zoomScale="94" workbookViewId="0">
      <selection activeCell="A129" sqref="A129"/>
    </sheetView>
  </sheetViews>
  <sheetFormatPr defaultRowHeight="14.5" x14ac:dyDescent="0.35"/>
  <cols>
    <col min="1" max="1" width="32.81640625" style="7" customWidth="1"/>
    <col min="2" max="5" width="15.08984375" customWidth="1"/>
    <col min="6" max="6" width="23.1796875" customWidth="1"/>
    <col min="7" max="11" width="15.08984375" customWidth="1"/>
    <col min="12" max="12" width="35.81640625" customWidth="1"/>
    <col min="13" max="13" width="11" customWidth="1"/>
  </cols>
  <sheetData>
    <row r="1" spans="1:13" x14ac:dyDescent="0.35">
      <c r="A1" s="2" t="s">
        <v>216</v>
      </c>
      <c r="C1" s="8" t="s">
        <v>1676</v>
      </c>
      <c r="F1" s="8" t="s">
        <v>1675</v>
      </c>
    </row>
    <row r="2" spans="1:13" ht="15" thickBot="1" x14ac:dyDescent="0.4"/>
    <row r="3" spans="1:13" ht="29" customHeight="1" thickTop="1" x14ac:dyDescent="0.35">
      <c r="A3" s="34"/>
      <c r="B3" s="74" t="s">
        <v>170</v>
      </c>
      <c r="C3" s="692" t="s">
        <v>325</v>
      </c>
      <c r="D3" s="692"/>
      <c r="E3" s="692"/>
      <c r="F3" s="692" t="s">
        <v>181</v>
      </c>
      <c r="G3" s="692"/>
      <c r="H3" s="692"/>
      <c r="I3" s="742" t="s">
        <v>176</v>
      </c>
      <c r="J3" s="743"/>
      <c r="L3" t="s">
        <v>1579</v>
      </c>
      <c r="M3" s="218">
        <v>1.4</v>
      </c>
    </row>
    <row r="4" spans="1:13" ht="29.5" customHeight="1" x14ac:dyDescent="0.35">
      <c r="A4" s="37" t="s">
        <v>180</v>
      </c>
      <c r="B4" s="67" t="s">
        <v>172</v>
      </c>
      <c r="C4" s="39" t="s">
        <v>102</v>
      </c>
      <c r="D4" s="40" t="s">
        <v>104</v>
      </c>
      <c r="E4" s="41" t="s">
        <v>103</v>
      </c>
      <c r="F4" s="39" t="s">
        <v>102</v>
      </c>
      <c r="G4" s="40" t="s">
        <v>104</v>
      </c>
      <c r="H4" s="41" t="s">
        <v>103</v>
      </c>
      <c r="I4" s="44" t="s">
        <v>177</v>
      </c>
      <c r="J4" s="46" t="s">
        <v>178</v>
      </c>
    </row>
    <row r="5" spans="1:13" ht="20" customHeight="1" x14ac:dyDescent="0.35">
      <c r="A5" s="35" t="s">
        <v>164</v>
      </c>
      <c r="B5" s="28" t="s">
        <v>173</v>
      </c>
      <c r="C5" s="59">
        <v>150</v>
      </c>
      <c r="D5" s="60">
        <v>200</v>
      </c>
      <c r="E5" s="61">
        <v>300</v>
      </c>
      <c r="F5" s="29">
        <v>40</v>
      </c>
      <c r="G5" s="30">
        <v>60</v>
      </c>
      <c r="H5" s="42">
        <v>60</v>
      </c>
      <c r="I5" s="45">
        <v>1</v>
      </c>
      <c r="J5" s="47">
        <v>0</v>
      </c>
    </row>
    <row r="6" spans="1:13" ht="20" customHeight="1" x14ac:dyDescent="0.35">
      <c r="A6" s="35" t="s">
        <v>36</v>
      </c>
      <c r="B6" s="28" t="s">
        <v>173</v>
      </c>
      <c r="C6" s="59">
        <v>500</v>
      </c>
      <c r="D6" s="60">
        <v>800</v>
      </c>
      <c r="E6" s="61">
        <v>1500</v>
      </c>
      <c r="F6" s="29">
        <v>40</v>
      </c>
      <c r="G6" s="30">
        <v>60</v>
      </c>
      <c r="H6" s="42">
        <v>60</v>
      </c>
      <c r="I6" s="45">
        <v>1</v>
      </c>
      <c r="J6" s="47">
        <v>0</v>
      </c>
    </row>
    <row r="7" spans="1:13" ht="20" customHeight="1" x14ac:dyDescent="0.35">
      <c r="A7" s="35" t="s">
        <v>5</v>
      </c>
      <c r="B7" s="28" t="s">
        <v>173</v>
      </c>
      <c r="C7" s="59">
        <v>100</v>
      </c>
      <c r="D7" s="60">
        <v>150</v>
      </c>
      <c r="E7" s="61">
        <v>300</v>
      </c>
      <c r="F7" s="29">
        <v>10</v>
      </c>
      <c r="G7" s="30">
        <v>20</v>
      </c>
      <c r="H7" s="42">
        <v>30</v>
      </c>
      <c r="I7" s="45">
        <v>1</v>
      </c>
      <c r="J7" s="47">
        <v>0</v>
      </c>
    </row>
    <row r="8" spans="1:13" ht="20" customHeight="1" x14ac:dyDescent="0.35">
      <c r="A8" s="35" t="s">
        <v>3</v>
      </c>
      <c r="B8" s="28" t="s">
        <v>173</v>
      </c>
      <c r="C8" s="59">
        <v>150</v>
      </c>
      <c r="D8" s="60">
        <v>230</v>
      </c>
      <c r="E8" s="61">
        <v>300</v>
      </c>
      <c r="F8" s="29">
        <v>20</v>
      </c>
      <c r="G8" s="30">
        <v>30</v>
      </c>
      <c r="H8" s="42">
        <v>40</v>
      </c>
      <c r="I8" s="45">
        <v>1</v>
      </c>
      <c r="J8" s="47">
        <v>0</v>
      </c>
    </row>
    <row r="9" spans="1:13" ht="20" customHeight="1" x14ac:dyDescent="0.35">
      <c r="A9" s="35" t="s">
        <v>165</v>
      </c>
      <c r="B9" s="28" t="s">
        <v>173</v>
      </c>
      <c r="C9" s="59">
        <v>250</v>
      </c>
      <c r="D9" s="60">
        <v>350</v>
      </c>
      <c r="E9" s="61">
        <v>500</v>
      </c>
      <c r="F9" s="29">
        <v>40</v>
      </c>
      <c r="G9" s="30">
        <v>60</v>
      </c>
      <c r="H9" s="42">
        <v>60</v>
      </c>
      <c r="I9" s="45">
        <v>1</v>
      </c>
      <c r="J9" s="47">
        <v>0</v>
      </c>
    </row>
    <row r="10" spans="1:13" ht="20" customHeight="1" x14ac:dyDescent="0.35">
      <c r="A10" s="35" t="s">
        <v>166</v>
      </c>
      <c r="B10" s="28" t="s">
        <v>173</v>
      </c>
      <c r="C10" s="59">
        <v>100</v>
      </c>
      <c r="D10" s="60">
        <v>150</v>
      </c>
      <c r="E10" s="61">
        <v>300</v>
      </c>
      <c r="F10" s="29">
        <v>20</v>
      </c>
      <c r="G10" s="30">
        <v>30</v>
      </c>
      <c r="H10" s="42">
        <v>40</v>
      </c>
      <c r="I10" s="45">
        <v>1</v>
      </c>
      <c r="J10" s="47">
        <v>0</v>
      </c>
    </row>
    <row r="11" spans="1:13" ht="20" customHeight="1" x14ac:dyDescent="0.35">
      <c r="A11" s="35" t="s">
        <v>167</v>
      </c>
      <c r="B11" s="28" t="s">
        <v>173</v>
      </c>
      <c r="C11" s="59">
        <v>80</v>
      </c>
      <c r="D11" s="60">
        <v>100</v>
      </c>
      <c r="E11" s="61">
        <v>150</v>
      </c>
      <c r="F11" s="29">
        <v>10</v>
      </c>
      <c r="G11" s="30">
        <v>20</v>
      </c>
      <c r="H11" s="42">
        <v>30</v>
      </c>
      <c r="I11" s="45">
        <v>1</v>
      </c>
      <c r="J11" s="47">
        <v>0</v>
      </c>
    </row>
    <row r="12" spans="1:13" ht="20" customHeight="1" x14ac:dyDescent="0.35">
      <c r="A12" s="35" t="s">
        <v>168</v>
      </c>
      <c r="B12" s="28" t="s">
        <v>173</v>
      </c>
      <c r="C12" s="59">
        <v>80</v>
      </c>
      <c r="D12" s="60">
        <v>100</v>
      </c>
      <c r="E12" s="61">
        <v>150</v>
      </c>
      <c r="F12" s="29">
        <v>20</v>
      </c>
      <c r="G12" s="30">
        <v>30</v>
      </c>
      <c r="H12" s="42">
        <v>40</v>
      </c>
      <c r="I12" s="45">
        <v>1</v>
      </c>
      <c r="J12" s="47">
        <v>0</v>
      </c>
    </row>
    <row r="13" spans="1:13" ht="20" customHeight="1" x14ac:dyDescent="0.35">
      <c r="A13" s="35" t="s">
        <v>169</v>
      </c>
      <c r="B13" s="28" t="s">
        <v>173</v>
      </c>
      <c r="C13" s="59">
        <v>100</v>
      </c>
      <c r="D13" s="60">
        <v>130</v>
      </c>
      <c r="E13" s="61">
        <v>150</v>
      </c>
      <c r="F13" s="29">
        <v>20</v>
      </c>
      <c r="G13" s="30">
        <v>30</v>
      </c>
      <c r="H13" s="42">
        <v>40</v>
      </c>
      <c r="I13" s="45">
        <v>1</v>
      </c>
      <c r="J13" s="47">
        <v>0</v>
      </c>
    </row>
    <row r="14" spans="1:13" ht="20" customHeight="1" x14ac:dyDescent="0.35">
      <c r="A14" s="35" t="s">
        <v>6</v>
      </c>
      <c r="B14" s="28" t="s">
        <v>173</v>
      </c>
      <c r="C14" s="59">
        <v>20</v>
      </c>
      <c r="D14" s="60">
        <v>40</v>
      </c>
      <c r="E14" s="61">
        <v>70</v>
      </c>
      <c r="F14" s="29">
        <v>20</v>
      </c>
      <c r="G14" s="30">
        <v>30</v>
      </c>
      <c r="H14" s="42">
        <v>40</v>
      </c>
      <c r="I14" s="45">
        <v>1</v>
      </c>
      <c r="J14" s="47">
        <v>0</v>
      </c>
    </row>
    <row r="15" spans="1:13" ht="20" customHeight="1" thickBot="1" x14ac:dyDescent="0.4">
      <c r="A15" s="36" t="s">
        <v>52</v>
      </c>
      <c r="B15" s="31"/>
      <c r="C15" s="80">
        <f>SUM(C5:C14)</f>
        <v>1530</v>
      </c>
      <c r="D15" s="81">
        <f>SUM(D5:D14)</f>
        <v>2250</v>
      </c>
      <c r="E15" s="82">
        <f>SUM(E5:E14)</f>
        <v>3720</v>
      </c>
      <c r="F15" s="1"/>
      <c r="G15" s="1"/>
      <c r="H15" s="1"/>
      <c r="I15" s="1"/>
      <c r="J15" s="48"/>
    </row>
    <row r="16" spans="1:13" ht="15" thickTop="1" x14ac:dyDescent="0.35"/>
    <row r="18" spans="1:15" x14ac:dyDescent="0.35">
      <c r="A18" s="2" t="s">
        <v>269</v>
      </c>
    </row>
    <row r="19" spans="1:15" ht="15" thickBot="1" x14ac:dyDescent="0.4"/>
    <row r="20" spans="1:15" ht="20" customHeight="1" thickTop="1" x14ac:dyDescent="0.35">
      <c r="A20" s="696" t="s">
        <v>183</v>
      </c>
      <c r="B20" s="691" t="s">
        <v>170</v>
      </c>
      <c r="C20" s="692" t="s">
        <v>325</v>
      </c>
      <c r="D20" s="692"/>
      <c r="E20" s="692"/>
      <c r="F20" s="692" t="s">
        <v>189</v>
      </c>
      <c r="G20" s="692"/>
      <c r="H20" s="692"/>
      <c r="I20" s="692"/>
      <c r="J20" s="692"/>
      <c r="K20" s="692"/>
      <c r="L20" s="692" t="s">
        <v>176</v>
      </c>
      <c r="M20" s="693"/>
    </row>
    <row r="21" spans="1:15" ht="20" customHeight="1" x14ac:dyDescent="0.35">
      <c r="A21" s="697"/>
      <c r="B21" s="698"/>
      <c r="C21" s="699"/>
      <c r="D21" s="699"/>
      <c r="E21" s="699"/>
      <c r="F21" s="699"/>
      <c r="G21" s="699"/>
      <c r="H21" s="699"/>
      <c r="I21" s="699"/>
      <c r="J21" s="699"/>
      <c r="K21" s="699"/>
      <c r="L21" s="699"/>
      <c r="M21" s="709"/>
    </row>
    <row r="22" spans="1:15" ht="20" customHeight="1" x14ac:dyDescent="0.35">
      <c r="A22" s="697"/>
      <c r="B22" s="698"/>
      <c r="C22" s="699"/>
      <c r="D22" s="699"/>
      <c r="E22" s="699"/>
      <c r="F22" s="699" t="s">
        <v>177</v>
      </c>
      <c r="G22" s="699"/>
      <c r="H22" s="699"/>
      <c r="I22" s="699" t="s">
        <v>178</v>
      </c>
      <c r="J22" s="699"/>
      <c r="K22" s="699"/>
      <c r="L22" s="38" t="s">
        <v>177</v>
      </c>
      <c r="M22" s="66" t="s">
        <v>178</v>
      </c>
    </row>
    <row r="23" spans="1:15" ht="20" customHeight="1" x14ac:dyDescent="0.35">
      <c r="A23" s="706" t="s">
        <v>201</v>
      </c>
      <c r="B23" s="699" t="s">
        <v>182</v>
      </c>
      <c r="C23" s="737" t="s">
        <v>190</v>
      </c>
      <c r="D23" s="737"/>
      <c r="E23" s="737"/>
      <c r="F23" s="737"/>
      <c r="G23" s="737"/>
      <c r="H23" s="737"/>
      <c r="I23" s="737"/>
      <c r="J23" s="737"/>
      <c r="K23" s="737"/>
      <c r="L23" s="737"/>
      <c r="M23" s="738"/>
    </row>
    <row r="24" spans="1:15" ht="20" customHeight="1" x14ac:dyDescent="0.35">
      <c r="A24" s="706"/>
      <c r="B24" s="699"/>
      <c r="C24" s="55" t="s">
        <v>12</v>
      </c>
      <c r="D24" s="56" t="s">
        <v>54</v>
      </c>
      <c r="E24" s="57" t="s">
        <v>184</v>
      </c>
      <c r="F24" s="55" t="s">
        <v>12</v>
      </c>
      <c r="G24" s="56" t="s">
        <v>54</v>
      </c>
      <c r="H24" s="57" t="s">
        <v>184</v>
      </c>
      <c r="I24" s="55" t="s">
        <v>12</v>
      </c>
      <c r="J24" s="56" t="s">
        <v>54</v>
      </c>
      <c r="K24" s="57" t="s">
        <v>184</v>
      </c>
      <c r="L24" s="710" t="s">
        <v>179</v>
      </c>
      <c r="M24" s="705" t="s">
        <v>179</v>
      </c>
    </row>
    <row r="25" spans="1:15" ht="20" customHeight="1" x14ac:dyDescent="0.35">
      <c r="A25" s="706"/>
      <c r="B25" s="28" t="s">
        <v>173</v>
      </c>
      <c r="C25" s="59">
        <v>40</v>
      </c>
      <c r="D25" s="60">
        <v>55</v>
      </c>
      <c r="E25" s="61">
        <v>110</v>
      </c>
      <c r="F25" s="49" t="s">
        <v>179</v>
      </c>
      <c r="G25" s="50" t="s">
        <v>179</v>
      </c>
      <c r="H25" s="51" t="s">
        <v>179</v>
      </c>
      <c r="I25" s="49" t="s">
        <v>179</v>
      </c>
      <c r="J25" s="50" t="s">
        <v>179</v>
      </c>
      <c r="K25" s="51" t="s">
        <v>179</v>
      </c>
      <c r="L25" s="710"/>
      <c r="M25" s="705"/>
    </row>
    <row r="26" spans="1:15" ht="20" customHeight="1" x14ac:dyDescent="0.35">
      <c r="A26" s="706" t="s">
        <v>185</v>
      </c>
      <c r="B26" s="699" t="s">
        <v>182</v>
      </c>
      <c r="C26" s="737" t="s">
        <v>191</v>
      </c>
      <c r="D26" s="737"/>
      <c r="E26" s="737"/>
      <c r="F26" s="737"/>
      <c r="G26" s="737"/>
      <c r="H26" s="737"/>
      <c r="I26" s="737"/>
      <c r="J26" s="737"/>
      <c r="K26" s="737"/>
      <c r="L26" s="737"/>
      <c r="M26" s="738"/>
    </row>
    <row r="27" spans="1:15" ht="20" customHeight="1" x14ac:dyDescent="0.35">
      <c r="A27" s="706"/>
      <c r="B27" s="699"/>
      <c r="C27" s="55" t="s">
        <v>186</v>
      </c>
      <c r="D27" s="56" t="s">
        <v>11</v>
      </c>
      <c r="E27" s="57" t="s">
        <v>187</v>
      </c>
      <c r="F27" s="55" t="s">
        <v>186</v>
      </c>
      <c r="G27" s="56" t="s">
        <v>11</v>
      </c>
      <c r="H27" s="57" t="s">
        <v>187</v>
      </c>
      <c r="I27" s="55" t="s">
        <v>186</v>
      </c>
      <c r="J27" s="56" t="s">
        <v>11</v>
      </c>
      <c r="K27" s="57" t="s">
        <v>187</v>
      </c>
      <c r="L27" s="707">
        <v>0.8</v>
      </c>
      <c r="M27" s="703">
        <v>0.2</v>
      </c>
    </row>
    <row r="28" spans="1:15" ht="20" customHeight="1" x14ac:dyDescent="0.35">
      <c r="A28" s="706"/>
      <c r="B28" s="28" t="s">
        <v>173</v>
      </c>
      <c r="C28" s="59">
        <v>18</v>
      </c>
      <c r="D28" s="60">
        <v>22</v>
      </c>
      <c r="E28" s="61">
        <v>26</v>
      </c>
      <c r="F28" s="59">
        <v>50</v>
      </c>
      <c r="G28" s="60">
        <v>75</v>
      </c>
      <c r="H28" s="61">
        <v>100</v>
      </c>
      <c r="I28" s="59">
        <v>100</v>
      </c>
      <c r="J28" s="60">
        <v>150</v>
      </c>
      <c r="K28" s="61">
        <v>200</v>
      </c>
      <c r="L28" s="708"/>
      <c r="M28" s="704"/>
    </row>
    <row r="29" spans="1:15" ht="20" customHeight="1" x14ac:dyDescent="0.35">
      <c r="A29" s="706" t="s">
        <v>192</v>
      </c>
      <c r="B29" s="699" t="s">
        <v>182</v>
      </c>
      <c r="C29" s="737" t="s">
        <v>192</v>
      </c>
      <c r="D29" s="737"/>
      <c r="E29" s="737"/>
      <c r="F29" s="737"/>
      <c r="G29" s="737"/>
      <c r="H29" s="737"/>
      <c r="I29" s="737"/>
      <c r="J29" s="737"/>
      <c r="K29" s="737"/>
      <c r="L29" s="737"/>
      <c r="M29" s="738"/>
      <c r="O29" s="5"/>
    </row>
    <row r="30" spans="1:15" ht="20" customHeight="1" x14ac:dyDescent="0.35">
      <c r="A30" s="706"/>
      <c r="B30" s="699"/>
      <c r="C30" s="55" t="s">
        <v>188</v>
      </c>
      <c r="D30" s="56" t="s">
        <v>11</v>
      </c>
      <c r="E30" s="57" t="s">
        <v>175</v>
      </c>
      <c r="F30" s="55" t="s">
        <v>188</v>
      </c>
      <c r="G30" s="56" t="s">
        <v>11</v>
      </c>
      <c r="H30" s="57" t="s">
        <v>175</v>
      </c>
      <c r="I30" s="55" t="s">
        <v>188</v>
      </c>
      <c r="J30" s="56" t="s">
        <v>11</v>
      </c>
      <c r="K30" s="57" t="s">
        <v>175</v>
      </c>
      <c r="L30" s="707">
        <v>0.8</v>
      </c>
      <c r="M30" s="703">
        <v>0.2</v>
      </c>
    </row>
    <row r="31" spans="1:15" ht="20" customHeight="1" x14ac:dyDescent="0.35">
      <c r="A31" s="706"/>
      <c r="B31" s="28" t="s">
        <v>173</v>
      </c>
      <c r="C31" s="59">
        <v>20</v>
      </c>
      <c r="D31" s="60">
        <v>30</v>
      </c>
      <c r="E31" s="61">
        <v>45</v>
      </c>
      <c r="F31" s="59">
        <v>15</v>
      </c>
      <c r="G31" s="60">
        <v>20</v>
      </c>
      <c r="H31" s="61">
        <v>25</v>
      </c>
      <c r="I31" s="59">
        <v>45</v>
      </c>
      <c r="J31" s="60">
        <v>60</v>
      </c>
      <c r="K31" s="61">
        <v>75</v>
      </c>
      <c r="L31" s="708"/>
      <c r="M31" s="704"/>
    </row>
    <row r="32" spans="1:15" ht="20" customHeight="1" x14ac:dyDescent="0.35">
      <c r="A32" s="706" t="s">
        <v>199</v>
      </c>
      <c r="B32" s="698" t="s">
        <v>193</v>
      </c>
      <c r="C32" s="737" t="s">
        <v>199</v>
      </c>
      <c r="D32" s="737"/>
      <c r="E32" s="737"/>
      <c r="F32" s="737"/>
      <c r="G32" s="737"/>
      <c r="H32" s="737"/>
      <c r="I32" s="737"/>
      <c r="J32" s="737"/>
      <c r="K32" s="737"/>
      <c r="L32" s="737"/>
      <c r="M32" s="738"/>
    </row>
    <row r="33" spans="1:13" ht="20" customHeight="1" x14ac:dyDescent="0.35">
      <c r="A33" s="706"/>
      <c r="B33" s="698"/>
      <c r="C33" s="55" t="s">
        <v>117</v>
      </c>
      <c r="D33" s="56" t="s">
        <v>200</v>
      </c>
      <c r="E33" s="57" t="s">
        <v>814</v>
      </c>
      <c r="F33" s="55" t="s">
        <v>117</v>
      </c>
      <c r="G33" s="56" t="s">
        <v>200</v>
      </c>
      <c r="H33" s="57" t="s">
        <v>203</v>
      </c>
      <c r="I33" s="55" t="str">
        <f>F33</f>
        <v>None</v>
      </c>
      <c r="J33" s="56" t="str">
        <f>G33</f>
        <v>One Side</v>
      </c>
      <c r="K33" s="57" t="str">
        <f>H33</f>
        <v>Both Side</v>
      </c>
      <c r="L33" s="707">
        <v>1</v>
      </c>
      <c r="M33" s="703">
        <v>0</v>
      </c>
    </row>
    <row r="34" spans="1:13" ht="20" customHeight="1" x14ac:dyDescent="0.35">
      <c r="A34" s="706"/>
      <c r="B34" s="28" t="s">
        <v>194</v>
      </c>
      <c r="C34" s="59">
        <v>0</v>
      </c>
      <c r="D34" s="60">
        <v>100</v>
      </c>
      <c r="E34" s="61">
        <v>200</v>
      </c>
      <c r="F34" s="59" t="s">
        <v>179</v>
      </c>
      <c r="G34" s="60">
        <v>50</v>
      </c>
      <c r="H34" s="61">
        <v>50</v>
      </c>
      <c r="I34" s="49" t="s">
        <v>179</v>
      </c>
      <c r="J34" s="50" t="s">
        <v>179</v>
      </c>
      <c r="K34" s="51" t="s">
        <v>179</v>
      </c>
      <c r="L34" s="708"/>
      <c r="M34" s="704"/>
    </row>
    <row r="35" spans="1:13" ht="20" customHeight="1" x14ac:dyDescent="0.35">
      <c r="A35" s="706" t="s">
        <v>195</v>
      </c>
      <c r="B35" s="698" t="s">
        <v>196</v>
      </c>
      <c r="C35" s="737" t="s">
        <v>202</v>
      </c>
      <c r="D35" s="737"/>
      <c r="E35" s="737"/>
      <c r="F35" s="737"/>
      <c r="G35" s="737"/>
      <c r="H35" s="737"/>
      <c r="I35" s="737"/>
      <c r="J35" s="737"/>
      <c r="K35" s="737"/>
      <c r="L35" s="737"/>
      <c r="M35" s="738"/>
    </row>
    <row r="36" spans="1:13" ht="20" customHeight="1" x14ac:dyDescent="0.35">
      <c r="A36" s="706"/>
      <c r="B36" s="698"/>
      <c r="C36" s="55" t="s">
        <v>117</v>
      </c>
      <c r="D36" s="56" t="s">
        <v>138</v>
      </c>
      <c r="E36" s="57" t="s">
        <v>139</v>
      </c>
      <c r="F36" s="55" t="s">
        <v>117</v>
      </c>
      <c r="G36" s="56" t="s">
        <v>198</v>
      </c>
      <c r="H36" s="57" t="s">
        <v>139</v>
      </c>
      <c r="I36" s="55" t="s">
        <v>117</v>
      </c>
      <c r="J36" s="56" t="s">
        <v>198</v>
      </c>
      <c r="K36" s="57" t="s">
        <v>139</v>
      </c>
      <c r="L36" s="707">
        <v>1</v>
      </c>
      <c r="M36" s="703">
        <v>0</v>
      </c>
    </row>
    <row r="37" spans="1:13" ht="20" customHeight="1" thickBot="1" x14ac:dyDescent="0.4">
      <c r="A37" s="734"/>
      <c r="B37" s="31" t="s">
        <v>197</v>
      </c>
      <c r="C37" s="63">
        <v>0</v>
      </c>
      <c r="D37" s="64">
        <v>20000</v>
      </c>
      <c r="E37" s="65">
        <v>40000</v>
      </c>
      <c r="F37" s="63" t="s">
        <v>179</v>
      </c>
      <c r="G37" s="64">
        <v>50</v>
      </c>
      <c r="H37" s="65">
        <v>50</v>
      </c>
      <c r="I37" s="52" t="s">
        <v>179</v>
      </c>
      <c r="J37" s="53" t="s">
        <v>179</v>
      </c>
      <c r="K37" s="54" t="s">
        <v>179</v>
      </c>
      <c r="L37" s="739"/>
      <c r="M37" s="740"/>
    </row>
    <row r="38" spans="1:13" s="5" customFormat="1" ht="20" customHeight="1" thickTop="1" x14ac:dyDescent="0.35">
      <c r="A38" s="78"/>
      <c r="B38" s="4"/>
      <c r="C38" s="73"/>
      <c r="D38" s="73"/>
      <c r="E38" s="73"/>
      <c r="F38" s="73"/>
      <c r="G38" s="73"/>
      <c r="H38" s="73"/>
      <c r="I38" s="72"/>
      <c r="J38" s="72"/>
      <c r="K38" s="72"/>
      <c r="L38" s="77"/>
      <c r="M38" s="77"/>
    </row>
    <row r="39" spans="1:13" s="5" customFormat="1" ht="20" customHeight="1" x14ac:dyDescent="0.35">
      <c r="A39" s="78"/>
      <c r="B39" s="4"/>
      <c r="C39" s="73"/>
      <c r="D39" s="73"/>
      <c r="E39" s="73"/>
      <c r="F39" s="73"/>
      <c r="G39" s="73"/>
      <c r="H39" s="73">
        <f>1973+60</f>
        <v>2033</v>
      </c>
      <c r="I39" s="72"/>
      <c r="J39" s="72"/>
      <c r="K39" s="72"/>
      <c r="L39" s="77"/>
      <c r="M39" s="77"/>
    </row>
    <row r="40" spans="1:13" x14ac:dyDescent="0.35">
      <c r="A40" s="2" t="s">
        <v>270</v>
      </c>
    </row>
    <row r="41" spans="1:13" ht="15" thickBot="1" x14ac:dyDescent="0.4">
      <c r="A41" s="2"/>
    </row>
    <row r="42" spans="1:13" ht="20" customHeight="1" thickTop="1" x14ac:dyDescent="0.35">
      <c r="A42" s="696" t="s">
        <v>183</v>
      </c>
      <c r="B42" s="691" t="s">
        <v>170</v>
      </c>
      <c r="C42" s="692" t="s">
        <v>325</v>
      </c>
      <c r="D42" s="692"/>
      <c r="E42" s="692"/>
      <c r="F42" s="692" t="s">
        <v>189</v>
      </c>
      <c r="G42" s="692"/>
      <c r="H42" s="692"/>
      <c r="I42" s="692"/>
      <c r="J42" s="692"/>
      <c r="K42" s="692"/>
      <c r="L42" s="692" t="s">
        <v>176</v>
      </c>
      <c r="M42" s="693"/>
    </row>
    <row r="43" spans="1:13" ht="20" customHeight="1" x14ac:dyDescent="0.35">
      <c r="A43" s="697"/>
      <c r="B43" s="698"/>
      <c r="C43" s="699"/>
      <c r="D43" s="699"/>
      <c r="E43" s="699"/>
      <c r="F43" s="699"/>
      <c r="G43" s="699"/>
      <c r="H43" s="699"/>
      <c r="I43" s="699"/>
      <c r="J43" s="699"/>
      <c r="K43" s="699"/>
      <c r="L43" s="699"/>
      <c r="M43" s="709"/>
    </row>
    <row r="44" spans="1:13" ht="20" customHeight="1" x14ac:dyDescent="0.35">
      <c r="A44" s="697"/>
      <c r="B44" s="698"/>
      <c r="C44" s="699"/>
      <c r="D44" s="699"/>
      <c r="E44" s="699"/>
      <c r="F44" s="699" t="s">
        <v>177</v>
      </c>
      <c r="G44" s="699"/>
      <c r="H44" s="699"/>
      <c r="I44" s="699" t="s">
        <v>178</v>
      </c>
      <c r="J44" s="699"/>
      <c r="K44" s="699"/>
      <c r="L44" s="38" t="s">
        <v>177</v>
      </c>
      <c r="M44" s="66" t="s">
        <v>178</v>
      </c>
    </row>
    <row r="45" spans="1:13" ht="20" customHeight="1" x14ac:dyDescent="0.35">
      <c r="A45" s="706" t="s">
        <v>201</v>
      </c>
      <c r="B45" s="699" t="s">
        <v>182</v>
      </c>
      <c r="C45" s="700" t="s">
        <v>190</v>
      </c>
      <c r="D45" s="701"/>
      <c r="E45" s="701"/>
      <c r="F45" s="701"/>
      <c r="G45" s="701"/>
      <c r="H45" s="701"/>
      <c r="I45" s="701"/>
      <c r="J45" s="701"/>
      <c r="K45" s="701"/>
      <c r="L45" s="701"/>
      <c r="M45" s="702"/>
    </row>
    <row r="46" spans="1:13" ht="20" customHeight="1" x14ac:dyDescent="0.35">
      <c r="A46" s="706"/>
      <c r="B46" s="699"/>
      <c r="C46" s="55" t="s">
        <v>12</v>
      </c>
      <c r="D46" s="56" t="s">
        <v>54</v>
      </c>
      <c r="E46" s="57" t="s">
        <v>184</v>
      </c>
      <c r="F46" s="55" t="s">
        <v>12</v>
      </c>
      <c r="G46" s="56" t="s">
        <v>54</v>
      </c>
      <c r="H46" s="57" t="s">
        <v>184</v>
      </c>
      <c r="I46" s="55" t="s">
        <v>12</v>
      </c>
      <c r="J46" s="56" t="s">
        <v>54</v>
      </c>
      <c r="K46" s="57" t="s">
        <v>184</v>
      </c>
      <c r="L46" s="710" t="s">
        <v>179</v>
      </c>
      <c r="M46" s="705" t="s">
        <v>179</v>
      </c>
    </row>
    <row r="47" spans="1:13" ht="20" customHeight="1" x14ac:dyDescent="0.35">
      <c r="A47" s="706"/>
      <c r="B47" s="28" t="s">
        <v>173</v>
      </c>
      <c r="C47" s="59">
        <v>40</v>
      </c>
      <c r="D47" s="60">
        <v>55</v>
      </c>
      <c r="E47" s="61">
        <v>110</v>
      </c>
      <c r="F47" s="49" t="s">
        <v>179</v>
      </c>
      <c r="G47" s="50" t="s">
        <v>179</v>
      </c>
      <c r="H47" s="51" t="s">
        <v>179</v>
      </c>
      <c r="I47" s="49" t="s">
        <v>179</v>
      </c>
      <c r="J47" s="50" t="s">
        <v>179</v>
      </c>
      <c r="K47" s="51" t="s">
        <v>179</v>
      </c>
      <c r="L47" s="710"/>
      <c r="M47" s="705"/>
    </row>
    <row r="48" spans="1:13" ht="20" customHeight="1" x14ac:dyDescent="0.35">
      <c r="A48" s="706" t="s">
        <v>185</v>
      </c>
      <c r="B48" s="699" t="s">
        <v>182</v>
      </c>
      <c r="C48" s="700" t="s">
        <v>191</v>
      </c>
      <c r="D48" s="701"/>
      <c r="E48" s="701"/>
      <c r="F48" s="701"/>
      <c r="G48" s="701"/>
      <c r="H48" s="701"/>
      <c r="I48" s="701"/>
      <c r="J48" s="701"/>
      <c r="K48" s="701"/>
      <c r="L48" s="701"/>
      <c r="M48" s="702"/>
    </row>
    <row r="49" spans="1:14" ht="20" customHeight="1" x14ac:dyDescent="0.35">
      <c r="A49" s="706"/>
      <c r="B49" s="699"/>
      <c r="C49" s="55" t="s">
        <v>186</v>
      </c>
      <c r="D49" s="56" t="s">
        <v>11</v>
      </c>
      <c r="E49" s="57" t="s">
        <v>187</v>
      </c>
      <c r="F49" s="55" t="s">
        <v>186</v>
      </c>
      <c r="G49" s="56" t="s">
        <v>11</v>
      </c>
      <c r="H49" s="57" t="s">
        <v>187</v>
      </c>
      <c r="I49" s="55" t="s">
        <v>186</v>
      </c>
      <c r="J49" s="56" t="s">
        <v>11</v>
      </c>
      <c r="K49" s="57" t="s">
        <v>187</v>
      </c>
      <c r="L49" s="707">
        <v>0.5</v>
      </c>
      <c r="M49" s="703">
        <v>0.5</v>
      </c>
    </row>
    <row r="50" spans="1:14" ht="20" customHeight="1" x14ac:dyDescent="0.35">
      <c r="A50" s="706"/>
      <c r="B50" s="28" t="s">
        <v>173</v>
      </c>
      <c r="C50" s="59">
        <v>18</v>
      </c>
      <c r="D50" s="60">
        <v>22</v>
      </c>
      <c r="E50" s="61">
        <v>26</v>
      </c>
      <c r="F50" s="59">
        <v>10</v>
      </c>
      <c r="G50" s="60">
        <v>10</v>
      </c>
      <c r="H50" s="61">
        <v>10</v>
      </c>
      <c r="I50" s="59">
        <v>20</v>
      </c>
      <c r="J50" s="60">
        <v>20</v>
      </c>
      <c r="K50" s="61">
        <v>20</v>
      </c>
      <c r="L50" s="708"/>
      <c r="M50" s="704"/>
    </row>
    <row r="53" spans="1:14" x14ac:dyDescent="0.35">
      <c r="A53" s="2" t="s">
        <v>217</v>
      </c>
    </row>
    <row r="54" spans="1:14" ht="15" thickBot="1" x14ac:dyDescent="0.4">
      <c r="A54" s="2"/>
    </row>
    <row r="55" spans="1:14" ht="15" thickTop="1" x14ac:dyDescent="0.35">
      <c r="A55" s="696" t="s">
        <v>204</v>
      </c>
      <c r="B55" s="691" t="s">
        <v>170</v>
      </c>
      <c r="C55" s="691" t="s">
        <v>325</v>
      </c>
      <c r="D55" s="691"/>
      <c r="E55" s="691" t="s">
        <v>189</v>
      </c>
      <c r="F55" s="691"/>
      <c r="G55" s="692" t="s">
        <v>176</v>
      </c>
      <c r="H55" s="693"/>
      <c r="I55" s="69"/>
      <c r="J55" s="69"/>
      <c r="K55" s="69"/>
      <c r="L55" s="741"/>
      <c r="M55" s="741"/>
      <c r="N55" s="5"/>
    </row>
    <row r="56" spans="1:14" x14ac:dyDescent="0.35">
      <c r="A56" s="697"/>
      <c r="B56" s="698"/>
      <c r="C56" s="698"/>
      <c r="D56" s="698"/>
      <c r="E56" s="698"/>
      <c r="F56" s="698"/>
      <c r="G56" s="699"/>
      <c r="H56" s="709"/>
      <c r="I56" s="69"/>
      <c r="J56" s="69"/>
      <c r="K56" s="69"/>
      <c r="L56" s="741"/>
      <c r="M56" s="741"/>
      <c r="N56" s="5"/>
    </row>
    <row r="57" spans="1:14" x14ac:dyDescent="0.35">
      <c r="A57" s="697"/>
      <c r="B57" s="698"/>
      <c r="C57" s="698"/>
      <c r="D57" s="698"/>
      <c r="E57" s="38" t="s">
        <v>177</v>
      </c>
      <c r="F57" s="38" t="s">
        <v>178</v>
      </c>
      <c r="G57" s="38" t="s">
        <v>177</v>
      </c>
      <c r="H57" s="66" t="s">
        <v>178</v>
      </c>
      <c r="I57" s="69"/>
      <c r="J57" s="69"/>
      <c r="K57" s="69"/>
      <c r="L57" s="70"/>
      <c r="M57" s="70"/>
      <c r="N57" s="5"/>
    </row>
    <row r="58" spans="1:14" x14ac:dyDescent="0.35">
      <c r="A58" s="706" t="s">
        <v>205</v>
      </c>
      <c r="B58" s="62" t="s">
        <v>182</v>
      </c>
      <c r="C58" s="699" t="s">
        <v>207</v>
      </c>
      <c r="D58" s="699"/>
      <c r="E58" s="699"/>
      <c r="F58" s="699"/>
      <c r="G58" s="699"/>
      <c r="H58" s="709"/>
      <c r="I58" s="69"/>
      <c r="J58" s="69"/>
      <c r="K58" s="69"/>
      <c r="L58" s="69"/>
      <c r="M58" s="69"/>
      <c r="N58" s="5"/>
    </row>
    <row r="59" spans="1:14" ht="16.5" customHeight="1" x14ac:dyDescent="0.35">
      <c r="A59" s="706"/>
      <c r="B59" s="736" t="s">
        <v>173</v>
      </c>
      <c r="C59" s="192"/>
      <c r="D59" s="193"/>
      <c r="E59" s="198"/>
      <c r="F59" s="727" t="s">
        <v>179</v>
      </c>
      <c r="G59" s="710" t="s">
        <v>179</v>
      </c>
      <c r="H59" s="705" t="s">
        <v>179</v>
      </c>
      <c r="I59" s="71"/>
      <c r="J59" s="71"/>
      <c r="K59" s="71"/>
      <c r="L59" s="735"/>
      <c r="M59" s="735"/>
      <c r="N59" s="5"/>
    </row>
    <row r="60" spans="1:14" x14ac:dyDescent="0.35">
      <c r="A60" s="706"/>
      <c r="B60" s="736"/>
      <c r="C60" s="196">
        <v>150</v>
      </c>
      <c r="D60" s="195"/>
      <c r="E60" s="199" t="s">
        <v>179</v>
      </c>
      <c r="F60" s="727"/>
      <c r="G60" s="710"/>
      <c r="H60" s="705"/>
      <c r="I60" s="72"/>
      <c r="J60" s="72"/>
      <c r="K60" s="72"/>
      <c r="L60" s="735"/>
      <c r="M60" s="735"/>
      <c r="N60" s="5"/>
    </row>
    <row r="61" spans="1:14" x14ac:dyDescent="0.35">
      <c r="A61" s="706" t="s">
        <v>185</v>
      </c>
      <c r="B61" s="699" t="s">
        <v>182</v>
      </c>
      <c r="C61" s="699" t="s">
        <v>191</v>
      </c>
      <c r="D61" s="699"/>
      <c r="E61" s="699"/>
      <c r="F61" s="699"/>
      <c r="G61" s="699"/>
      <c r="H61" s="709"/>
      <c r="I61" s="69"/>
      <c r="J61" s="69"/>
      <c r="K61" s="69"/>
      <c r="L61" s="69"/>
      <c r="M61" s="69"/>
      <c r="N61" s="5"/>
    </row>
    <row r="62" spans="1:14" x14ac:dyDescent="0.35">
      <c r="A62" s="706"/>
      <c r="B62" s="699"/>
      <c r="C62" s="192"/>
      <c r="D62" s="193"/>
      <c r="E62" s="198"/>
      <c r="F62" s="202"/>
      <c r="G62" s="723">
        <v>0.7</v>
      </c>
      <c r="H62" s="721">
        <v>0.3</v>
      </c>
      <c r="I62" s="71"/>
      <c r="J62" s="71"/>
      <c r="K62" s="71"/>
      <c r="L62" s="733"/>
      <c r="M62" s="733"/>
      <c r="N62" s="5"/>
    </row>
    <row r="63" spans="1:14" ht="16.5" x14ac:dyDescent="0.35">
      <c r="A63" s="706"/>
      <c r="B63" s="28" t="s">
        <v>173</v>
      </c>
      <c r="C63" s="194">
        <v>60</v>
      </c>
      <c r="D63" s="195"/>
      <c r="E63" s="199">
        <v>75</v>
      </c>
      <c r="F63" s="189">
        <v>120</v>
      </c>
      <c r="G63" s="723"/>
      <c r="H63" s="721"/>
      <c r="I63" s="73"/>
      <c r="J63" s="73"/>
      <c r="K63" s="73"/>
      <c r="L63" s="733"/>
      <c r="M63" s="733"/>
      <c r="N63" s="5"/>
    </row>
    <row r="64" spans="1:14" x14ac:dyDescent="0.35">
      <c r="A64" s="706" t="s">
        <v>206</v>
      </c>
      <c r="B64" s="699" t="s">
        <v>182</v>
      </c>
      <c r="C64" s="699" t="s">
        <v>206</v>
      </c>
      <c r="D64" s="699"/>
      <c r="E64" s="699"/>
      <c r="F64" s="699"/>
      <c r="G64" s="699"/>
      <c r="H64" s="709"/>
      <c r="I64" s="69"/>
      <c r="J64" s="69"/>
      <c r="K64" s="69"/>
      <c r="L64" s="69"/>
      <c r="M64" s="69"/>
      <c r="N64" s="5"/>
    </row>
    <row r="65" spans="1:14" x14ac:dyDescent="0.35">
      <c r="A65" s="706"/>
      <c r="B65" s="699"/>
      <c r="C65" s="192"/>
      <c r="D65" s="193"/>
      <c r="E65" s="200"/>
      <c r="F65" s="202"/>
      <c r="G65" s="723">
        <v>0.8</v>
      </c>
      <c r="H65" s="721">
        <v>0.2</v>
      </c>
      <c r="I65" s="71"/>
      <c r="J65" s="71"/>
      <c r="K65" s="71"/>
      <c r="L65" s="733"/>
      <c r="M65" s="733"/>
      <c r="N65" s="5"/>
    </row>
    <row r="66" spans="1:14" ht="17" thickBot="1" x14ac:dyDescent="0.4">
      <c r="A66" s="734"/>
      <c r="B66" s="31" t="s">
        <v>173</v>
      </c>
      <c r="C66" s="201">
        <v>100</v>
      </c>
      <c r="D66" s="197"/>
      <c r="E66" s="203">
        <v>25</v>
      </c>
      <c r="F66" s="204">
        <v>75</v>
      </c>
      <c r="G66" s="732"/>
      <c r="H66" s="730"/>
      <c r="I66" s="73"/>
      <c r="J66" s="73"/>
      <c r="K66" s="73"/>
      <c r="L66" s="733"/>
      <c r="M66" s="733"/>
      <c r="N66" s="5"/>
    </row>
    <row r="67" spans="1:14" s="5" customFormat="1" ht="15" thickTop="1" x14ac:dyDescent="0.35">
      <c r="A67" s="78"/>
      <c r="B67" s="4"/>
      <c r="C67" s="71"/>
      <c r="D67" s="71"/>
      <c r="E67" s="79"/>
      <c r="F67" s="79"/>
      <c r="G67" s="77"/>
      <c r="H67" s="77"/>
      <c r="I67" s="73"/>
      <c r="J67" s="73"/>
      <c r="K67" s="73"/>
      <c r="L67" s="77"/>
      <c r="M67" s="77"/>
    </row>
    <row r="68" spans="1:14" x14ac:dyDescent="0.35">
      <c r="I68" s="5"/>
      <c r="J68" s="5"/>
      <c r="K68" s="5"/>
      <c r="L68" s="5"/>
      <c r="M68" s="5"/>
      <c r="N68" s="5"/>
    </row>
    <row r="69" spans="1:14" x14ac:dyDescent="0.35">
      <c r="I69" s="5"/>
      <c r="J69" s="5"/>
      <c r="K69" s="5"/>
      <c r="L69" s="5"/>
      <c r="M69" s="5"/>
      <c r="N69" s="5"/>
    </row>
    <row r="70" spans="1:14" ht="15" thickBot="1" x14ac:dyDescent="0.4">
      <c r="A70" s="2" t="s">
        <v>691</v>
      </c>
    </row>
    <row r="71" spans="1:14" ht="15" thickTop="1" x14ac:dyDescent="0.35">
      <c r="A71" s="711" t="s">
        <v>692</v>
      </c>
      <c r="B71" s="714" t="s">
        <v>170</v>
      </c>
      <c r="C71" s="691" t="s">
        <v>222</v>
      </c>
      <c r="D71" s="691"/>
      <c r="E71" s="692" t="s">
        <v>189</v>
      </c>
      <c r="F71" s="692"/>
      <c r="G71" s="692" t="s">
        <v>176</v>
      </c>
      <c r="H71" s="693"/>
    </row>
    <row r="72" spans="1:14" x14ac:dyDescent="0.35">
      <c r="A72" s="712"/>
      <c r="B72" s="715"/>
      <c r="C72" s="698"/>
      <c r="D72" s="698"/>
      <c r="E72" s="699"/>
      <c r="F72" s="699"/>
      <c r="G72" s="699"/>
      <c r="H72" s="709"/>
    </row>
    <row r="73" spans="1:14" x14ac:dyDescent="0.35">
      <c r="A73" s="725"/>
      <c r="B73" s="716"/>
      <c r="C73" s="698"/>
      <c r="D73" s="698"/>
      <c r="E73" s="38" t="s">
        <v>177</v>
      </c>
      <c r="F73" s="38" t="s">
        <v>178</v>
      </c>
      <c r="G73" s="38" t="s">
        <v>177</v>
      </c>
      <c r="H73" s="66" t="s">
        <v>178</v>
      </c>
    </row>
    <row r="74" spans="1:14" x14ac:dyDescent="0.35">
      <c r="A74" s="724" t="s">
        <v>208</v>
      </c>
      <c r="B74" s="722" t="s">
        <v>220</v>
      </c>
      <c r="C74" s="699" t="s">
        <v>693</v>
      </c>
      <c r="D74" s="699"/>
      <c r="E74" s="699"/>
      <c r="F74" s="699"/>
      <c r="G74" s="699"/>
      <c r="H74" s="709"/>
    </row>
    <row r="75" spans="1:14" ht="14.5" customHeight="1" x14ac:dyDescent="0.35">
      <c r="A75" s="712"/>
      <c r="B75" s="715"/>
      <c r="C75" s="731">
        <v>50000000</v>
      </c>
      <c r="D75" s="731"/>
      <c r="E75" s="719">
        <v>80</v>
      </c>
      <c r="F75" s="727" t="s">
        <v>179</v>
      </c>
      <c r="G75" s="723">
        <v>1</v>
      </c>
      <c r="H75" s="721">
        <v>0</v>
      </c>
    </row>
    <row r="76" spans="1:14" x14ac:dyDescent="0.35">
      <c r="A76" s="725"/>
      <c r="B76" s="716"/>
      <c r="C76" s="731"/>
      <c r="D76" s="731"/>
      <c r="E76" s="719"/>
      <c r="F76" s="727"/>
      <c r="G76" s="710"/>
      <c r="H76" s="705"/>
    </row>
    <row r="77" spans="1:14" x14ac:dyDescent="0.35">
      <c r="A77" s="724" t="s">
        <v>142</v>
      </c>
      <c r="B77" s="722" t="s">
        <v>220</v>
      </c>
      <c r="C77" s="699" t="s">
        <v>142</v>
      </c>
      <c r="D77" s="699"/>
      <c r="E77" s="699"/>
      <c r="F77" s="699"/>
      <c r="G77" s="699"/>
      <c r="H77" s="709"/>
    </row>
    <row r="78" spans="1:14" x14ac:dyDescent="0.35">
      <c r="A78" s="712"/>
      <c r="B78" s="715"/>
      <c r="C78" s="717">
        <v>5000000</v>
      </c>
      <c r="D78" s="717"/>
      <c r="E78" s="719">
        <v>40</v>
      </c>
      <c r="F78" s="694" t="s">
        <v>179</v>
      </c>
      <c r="G78" s="723">
        <v>1</v>
      </c>
      <c r="H78" s="721">
        <v>0</v>
      </c>
    </row>
    <row r="79" spans="1:14" x14ac:dyDescent="0.35">
      <c r="A79" s="725"/>
      <c r="B79" s="716"/>
      <c r="C79" s="717"/>
      <c r="D79" s="717"/>
      <c r="E79" s="719"/>
      <c r="F79" s="695"/>
      <c r="G79" s="723"/>
      <c r="H79" s="721"/>
    </row>
    <row r="80" spans="1:14" x14ac:dyDescent="0.35">
      <c r="A80" s="724" t="s">
        <v>209</v>
      </c>
      <c r="B80" s="722" t="s">
        <v>220</v>
      </c>
      <c r="C80" s="699" t="s">
        <v>209</v>
      </c>
      <c r="D80" s="699"/>
      <c r="E80" s="699"/>
      <c r="F80" s="699"/>
      <c r="G80" s="699"/>
      <c r="H80" s="709"/>
    </row>
    <row r="81" spans="1:8" x14ac:dyDescent="0.35">
      <c r="A81" s="712"/>
      <c r="B81" s="715"/>
      <c r="C81" s="717">
        <v>5000000</v>
      </c>
      <c r="D81" s="717"/>
      <c r="E81" s="719">
        <v>20</v>
      </c>
      <c r="F81" s="727">
        <v>80</v>
      </c>
      <c r="G81" s="723">
        <v>0.6</v>
      </c>
      <c r="H81" s="721">
        <v>0.4</v>
      </c>
    </row>
    <row r="82" spans="1:8" ht="15" thickBot="1" x14ac:dyDescent="0.4">
      <c r="A82" s="713"/>
      <c r="B82" s="726"/>
      <c r="C82" s="718"/>
      <c r="D82" s="718"/>
      <c r="E82" s="720"/>
      <c r="F82" s="728"/>
      <c r="G82" s="729"/>
      <c r="H82" s="730"/>
    </row>
    <row r="83" spans="1:8" ht="15" thickTop="1" x14ac:dyDescent="0.35">
      <c r="A83" s="711" t="s">
        <v>210</v>
      </c>
      <c r="B83" s="714" t="s">
        <v>221</v>
      </c>
      <c r="C83" s="699" t="s">
        <v>210</v>
      </c>
      <c r="D83" s="699"/>
      <c r="E83" s="699"/>
      <c r="F83" s="699"/>
      <c r="G83" s="699"/>
      <c r="H83" s="709"/>
    </row>
    <row r="84" spans="1:8" x14ac:dyDescent="0.35">
      <c r="A84" s="712"/>
      <c r="B84" s="715"/>
      <c r="C84" s="717">
        <v>10000000</v>
      </c>
      <c r="D84" s="717"/>
      <c r="E84" s="719">
        <v>20</v>
      </c>
      <c r="F84" s="727" t="s">
        <v>179</v>
      </c>
      <c r="G84" s="723">
        <v>1</v>
      </c>
      <c r="H84" s="721">
        <v>0</v>
      </c>
    </row>
    <row r="85" spans="1:8" ht="15" thickBot="1" x14ac:dyDescent="0.4">
      <c r="A85" s="713"/>
      <c r="B85" s="726"/>
      <c r="C85" s="718"/>
      <c r="D85" s="718"/>
      <c r="E85" s="720"/>
      <c r="F85" s="728"/>
      <c r="G85" s="729"/>
      <c r="H85" s="730"/>
    </row>
    <row r="86" spans="1:8" ht="15" thickTop="1" x14ac:dyDescent="0.35"/>
    <row r="88" spans="1:8" x14ac:dyDescent="0.35">
      <c r="A88" s="2" t="s">
        <v>218</v>
      </c>
    </row>
    <row r="89" spans="1:8" ht="15" thickBot="1" x14ac:dyDescent="0.4"/>
    <row r="90" spans="1:8" ht="29.5" thickTop="1" x14ac:dyDescent="0.35">
      <c r="A90" s="75" t="s">
        <v>219</v>
      </c>
      <c r="B90" s="74" t="s">
        <v>170</v>
      </c>
      <c r="C90" s="691" t="s">
        <v>325</v>
      </c>
      <c r="D90" s="691"/>
      <c r="E90" s="692" t="s">
        <v>223</v>
      </c>
      <c r="F90" s="693"/>
    </row>
    <row r="91" spans="1:8" ht="25" customHeight="1" x14ac:dyDescent="0.35">
      <c r="A91" s="35" t="s">
        <v>225</v>
      </c>
      <c r="B91" s="27" t="s">
        <v>226</v>
      </c>
      <c r="C91" s="187">
        <v>120</v>
      </c>
      <c r="D91" s="185"/>
      <c r="E91" s="178">
        <v>30</v>
      </c>
      <c r="F91" s="179"/>
    </row>
    <row r="92" spans="1:8" ht="38.5" customHeight="1" x14ac:dyDescent="0.35">
      <c r="A92" s="83" t="s">
        <v>227</v>
      </c>
      <c r="B92" s="27" t="s">
        <v>226</v>
      </c>
      <c r="C92" s="180">
        <v>7500</v>
      </c>
      <c r="D92" s="181"/>
      <c r="E92" s="174">
        <v>60</v>
      </c>
      <c r="F92" s="175"/>
    </row>
    <row r="93" spans="1:8" ht="25" customHeight="1" x14ac:dyDescent="0.35">
      <c r="A93" s="83" t="s">
        <v>228</v>
      </c>
      <c r="B93" s="27" t="s">
        <v>226</v>
      </c>
      <c r="C93" s="219">
        <v>5000</v>
      </c>
      <c r="D93" s="220"/>
      <c r="E93" s="174">
        <v>40</v>
      </c>
      <c r="F93" s="175"/>
    </row>
    <row r="94" spans="1:8" ht="25" customHeight="1" x14ac:dyDescent="0.35">
      <c r="A94" s="83" t="s">
        <v>229</v>
      </c>
      <c r="B94" s="27" t="s">
        <v>226</v>
      </c>
      <c r="C94" s="219">
        <v>6000</v>
      </c>
      <c r="D94" s="220"/>
      <c r="E94" s="174">
        <v>50</v>
      </c>
      <c r="F94" s="175"/>
    </row>
    <row r="95" spans="1:8" ht="25" customHeight="1" x14ac:dyDescent="0.35">
      <c r="A95" s="83" t="s">
        <v>230</v>
      </c>
      <c r="B95" s="27" t="s">
        <v>226</v>
      </c>
      <c r="C95" s="219">
        <v>4000</v>
      </c>
      <c r="D95" s="220"/>
      <c r="E95" s="174">
        <v>40</v>
      </c>
      <c r="F95" s="175"/>
    </row>
    <row r="96" spans="1:8" ht="30.5" customHeight="1" x14ac:dyDescent="0.35">
      <c r="A96" s="83" t="s">
        <v>231</v>
      </c>
      <c r="B96" s="27" t="s">
        <v>226</v>
      </c>
      <c r="C96" s="219">
        <v>150</v>
      </c>
      <c r="D96" s="220"/>
      <c r="E96" s="174">
        <v>30</v>
      </c>
      <c r="F96" s="175"/>
    </row>
    <row r="97" spans="1:6" ht="25" customHeight="1" x14ac:dyDescent="0.35">
      <c r="A97" s="84" t="s">
        <v>232</v>
      </c>
      <c r="B97" s="27" t="s">
        <v>246</v>
      </c>
      <c r="C97" s="219">
        <v>20000</v>
      </c>
      <c r="D97" s="220"/>
      <c r="E97" s="174">
        <v>40</v>
      </c>
      <c r="F97" s="175"/>
    </row>
    <row r="98" spans="1:6" ht="25" customHeight="1" x14ac:dyDescent="0.35">
      <c r="A98" s="84" t="s">
        <v>233</v>
      </c>
      <c r="B98" s="27" t="s">
        <v>246</v>
      </c>
      <c r="C98" s="219">
        <v>30000</v>
      </c>
      <c r="D98" s="220"/>
      <c r="E98" s="174">
        <v>40</v>
      </c>
      <c r="F98" s="175"/>
    </row>
    <row r="99" spans="1:6" ht="25" customHeight="1" x14ac:dyDescent="0.35">
      <c r="A99" s="84" t="s">
        <v>234</v>
      </c>
      <c r="B99" s="27" t="s">
        <v>246</v>
      </c>
      <c r="C99" s="219">
        <v>45000</v>
      </c>
      <c r="D99" s="220"/>
      <c r="E99" s="174">
        <v>40</v>
      </c>
      <c r="F99" s="175"/>
    </row>
    <row r="100" spans="1:6" ht="25" customHeight="1" x14ac:dyDescent="0.35">
      <c r="A100" s="84" t="s">
        <v>707</v>
      </c>
      <c r="B100" s="27" t="s">
        <v>246</v>
      </c>
      <c r="C100" s="183" t="s">
        <v>248</v>
      </c>
      <c r="D100" s="184"/>
      <c r="E100" s="174">
        <v>10</v>
      </c>
      <c r="F100" s="175"/>
    </row>
    <row r="101" spans="1:6" ht="25" customHeight="1" x14ac:dyDescent="0.35">
      <c r="A101" s="84" t="s">
        <v>708</v>
      </c>
      <c r="B101" s="27" t="s">
        <v>246</v>
      </c>
      <c r="C101" s="183" t="s">
        <v>248</v>
      </c>
      <c r="D101" s="184"/>
      <c r="E101" s="174">
        <v>10</v>
      </c>
      <c r="F101" s="175"/>
    </row>
    <row r="102" spans="1:6" ht="25" customHeight="1" x14ac:dyDescent="0.35">
      <c r="A102" s="84" t="s">
        <v>235</v>
      </c>
      <c r="B102" s="27" t="s">
        <v>246</v>
      </c>
      <c r="C102" s="182" t="s">
        <v>248</v>
      </c>
      <c r="D102" s="181"/>
      <c r="E102" s="174">
        <v>60</v>
      </c>
      <c r="F102" s="175"/>
    </row>
    <row r="103" spans="1:6" ht="20" customHeight="1" x14ac:dyDescent="0.35">
      <c r="A103" s="84" t="s">
        <v>236</v>
      </c>
      <c r="B103" s="27" t="s">
        <v>247</v>
      </c>
      <c r="C103" s="182" t="s">
        <v>248</v>
      </c>
      <c r="D103" s="181"/>
      <c r="E103" s="174">
        <v>60</v>
      </c>
      <c r="F103" s="175"/>
    </row>
    <row r="104" spans="1:6" ht="20" customHeight="1" x14ac:dyDescent="0.35">
      <c r="A104" s="84" t="s">
        <v>237</v>
      </c>
      <c r="B104" s="27" t="s">
        <v>247</v>
      </c>
      <c r="C104" s="182" t="s">
        <v>248</v>
      </c>
      <c r="D104" s="181"/>
      <c r="E104" s="174">
        <v>25</v>
      </c>
      <c r="F104" s="175"/>
    </row>
    <row r="105" spans="1:6" ht="20" customHeight="1" x14ac:dyDescent="0.35">
      <c r="A105" s="84" t="s">
        <v>238</v>
      </c>
      <c r="B105" s="27" t="s">
        <v>247</v>
      </c>
      <c r="C105" s="182" t="s">
        <v>248</v>
      </c>
      <c r="D105" s="181"/>
      <c r="E105" s="174">
        <v>25</v>
      </c>
      <c r="F105" s="175"/>
    </row>
    <row r="106" spans="1:6" ht="20" customHeight="1" x14ac:dyDescent="0.35">
      <c r="A106" s="84" t="s">
        <v>1426</v>
      </c>
      <c r="B106" s="27" t="s">
        <v>226</v>
      </c>
      <c r="C106" s="180">
        <v>50</v>
      </c>
      <c r="D106" s="181"/>
      <c r="E106" s="178">
        <v>25</v>
      </c>
      <c r="F106" s="179"/>
    </row>
    <row r="107" spans="1:6" ht="20" customHeight="1" x14ac:dyDescent="0.35">
      <c r="A107" s="84" t="s">
        <v>241</v>
      </c>
      <c r="B107" s="27" t="s">
        <v>247</v>
      </c>
      <c r="C107" s="182" t="s">
        <v>249</v>
      </c>
      <c r="D107" s="181"/>
      <c r="E107" s="174">
        <v>25</v>
      </c>
      <c r="F107" s="175"/>
    </row>
    <row r="108" spans="1:6" ht="20" customHeight="1" x14ac:dyDescent="0.35">
      <c r="A108" s="84" t="s">
        <v>242</v>
      </c>
      <c r="B108" s="27" t="s">
        <v>247</v>
      </c>
      <c r="C108" s="182" t="s">
        <v>249</v>
      </c>
      <c r="D108" s="181"/>
      <c r="E108" s="174">
        <v>25</v>
      </c>
      <c r="F108" s="175"/>
    </row>
    <row r="109" spans="1:6" ht="20" customHeight="1" x14ac:dyDescent="0.35">
      <c r="A109" s="84" t="s">
        <v>149</v>
      </c>
      <c r="B109" s="27" t="s">
        <v>247</v>
      </c>
      <c r="C109" s="182" t="s">
        <v>249</v>
      </c>
      <c r="D109" s="181"/>
      <c r="E109" s="174">
        <v>50</v>
      </c>
      <c r="F109" s="175"/>
    </row>
    <row r="110" spans="1:6" ht="20" customHeight="1" x14ac:dyDescent="0.35">
      <c r="A110" s="84" t="s">
        <v>62</v>
      </c>
      <c r="B110" s="27" t="s">
        <v>247</v>
      </c>
      <c r="C110" s="182" t="s">
        <v>249</v>
      </c>
      <c r="D110" s="181"/>
      <c r="E110" s="178">
        <v>30</v>
      </c>
      <c r="F110" s="179"/>
    </row>
    <row r="111" spans="1:6" ht="20" customHeight="1" x14ac:dyDescent="0.35">
      <c r="A111" s="84" t="s">
        <v>243</v>
      </c>
      <c r="B111" s="27" t="s">
        <v>247</v>
      </c>
      <c r="C111" s="180">
        <v>100000</v>
      </c>
      <c r="D111" s="181"/>
      <c r="E111" s="174">
        <v>12</v>
      </c>
      <c r="F111" s="175"/>
    </row>
    <row r="112" spans="1:6" ht="20" customHeight="1" x14ac:dyDescent="0.35">
      <c r="A112" s="84" t="s">
        <v>239</v>
      </c>
      <c r="B112" s="27" t="s">
        <v>246</v>
      </c>
      <c r="C112" s="182" t="s">
        <v>248</v>
      </c>
      <c r="D112" s="181"/>
      <c r="E112" s="174">
        <v>12</v>
      </c>
      <c r="F112" s="175"/>
    </row>
    <row r="113" spans="1:6" ht="20" customHeight="1" x14ac:dyDescent="0.35">
      <c r="A113" s="84" t="s">
        <v>240</v>
      </c>
      <c r="B113" s="27" t="s">
        <v>246</v>
      </c>
      <c r="C113" s="182" t="s">
        <v>248</v>
      </c>
      <c r="D113" s="181"/>
      <c r="E113" s="174">
        <v>12</v>
      </c>
      <c r="F113" s="175"/>
    </row>
    <row r="114" spans="1:6" ht="20" customHeight="1" x14ac:dyDescent="0.35">
      <c r="A114" s="84" t="s">
        <v>1413</v>
      </c>
      <c r="B114" s="27" t="s">
        <v>246</v>
      </c>
      <c r="C114" s="182" t="s">
        <v>248</v>
      </c>
      <c r="D114" s="181"/>
      <c r="E114" s="174">
        <v>8</v>
      </c>
      <c r="F114" s="175"/>
    </row>
    <row r="115" spans="1:6" ht="20" customHeight="1" x14ac:dyDescent="0.35">
      <c r="A115" s="84" t="s">
        <v>244</v>
      </c>
      <c r="B115" s="27" t="s">
        <v>246</v>
      </c>
      <c r="C115" s="182" t="s">
        <v>248</v>
      </c>
      <c r="D115" s="181"/>
      <c r="E115" s="174">
        <v>30</v>
      </c>
      <c r="F115" s="175"/>
    </row>
    <row r="116" spans="1:6" ht="20" customHeight="1" thickBot="1" x14ac:dyDescent="0.4">
      <c r="A116" s="85" t="s">
        <v>245</v>
      </c>
      <c r="B116" s="86" t="s">
        <v>246</v>
      </c>
      <c r="C116" s="188" t="s">
        <v>248</v>
      </c>
      <c r="D116" s="186"/>
      <c r="E116" s="176">
        <v>15</v>
      </c>
      <c r="F116" s="177"/>
    </row>
    <row r="117" spans="1:6" ht="15" thickTop="1" x14ac:dyDescent="0.35"/>
  </sheetData>
  <mergeCells count="119">
    <mergeCell ref="A26:A28"/>
    <mergeCell ref="A23:A25"/>
    <mergeCell ref="A20:A22"/>
    <mergeCell ref="A29:A31"/>
    <mergeCell ref="I3:J3"/>
    <mergeCell ref="F22:H22"/>
    <mergeCell ref="C3:E3"/>
    <mergeCell ref="F3:H3"/>
    <mergeCell ref="L27:L28"/>
    <mergeCell ref="M27:M28"/>
    <mergeCell ref="L30:L31"/>
    <mergeCell ref="M30:M31"/>
    <mergeCell ref="C32:M32"/>
    <mergeCell ref="C29:M29"/>
    <mergeCell ref="B20:B22"/>
    <mergeCell ref="C20:E22"/>
    <mergeCell ref="B23:B24"/>
    <mergeCell ref="B26:B27"/>
    <mergeCell ref="B29:B30"/>
    <mergeCell ref="C23:M23"/>
    <mergeCell ref="C26:M26"/>
    <mergeCell ref="L20:M21"/>
    <mergeCell ref="L24:L25"/>
    <mergeCell ref="M24:M25"/>
    <mergeCell ref="F20:K21"/>
    <mergeCell ref="I22:K22"/>
    <mergeCell ref="B32:B33"/>
    <mergeCell ref="C35:M35"/>
    <mergeCell ref="L33:L34"/>
    <mergeCell ref="M33:M34"/>
    <mergeCell ref="L36:L37"/>
    <mergeCell ref="M36:M37"/>
    <mergeCell ref="A55:A57"/>
    <mergeCell ref="B55:B57"/>
    <mergeCell ref="L55:M56"/>
    <mergeCell ref="B35:B36"/>
    <mergeCell ref="A35:A37"/>
    <mergeCell ref="A32:A34"/>
    <mergeCell ref="C55:D57"/>
    <mergeCell ref="L62:L63"/>
    <mergeCell ref="M62:M63"/>
    <mergeCell ref="A64:A66"/>
    <mergeCell ref="B64:B65"/>
    <mergeCell ref="L65:L66"/>
    <mergeCell ref="M65:M66"/>
    <mergeCell ref="A58:A60"/>
    <mergeCell ref="L59:L60"/>
    <mergeCell ref="M59:M60"/>
    <mergeCell ref="B59:B60"/>
    <mergeCell ref="C71:D73"/>
    <mergeCell ref="E71:F72"/>
    <mergeCell ref="G71:H72"/>
    <mergeCell ref="A71:A73"/>
    <mergeCell ref="C74:H74"/>
    <mergeCell ref="C75:D76"/>
    <mergeCell ref="E75:E76"/>
    <mergeCell ref="G55:H56"/>
    <mergeCell ref="G59:G60"/>
    <mergeCell ref="H59:H60"/>
    <mergeCell ref="G62:G63"/>
    <mergeCell ref="H62:H63"/>
    <mergeCell ref="G65:G66"/>
    <mergeCell ref="H65:H66"/>
    <mergeCell ref="C58:H58"/>
    <mergeCell ref="C61:H61"/>
    <mergeCell ref="C64:H64"/>
    <mergeCell ref="E55:F56"/>
    <mergeCell ref="F59:F60"/>
    <mergeCell ref="A74:A76"/>
    <mergeCell ref="A61:A63"/>
    <mergeCell ref="B61:B62"/>
    <mergeCell ref="F75:F76"/>
    <mergeCell ref="G75:G76"/>
    <mergeCell ref="H75:H76"/>
    <mergeCell ref="C77:H77"/>
    <mergeCell ref="C78:D79"/>
    <mergeCell ref="E78:E79"/>
    <mergeCell ref="B74:B76"/>
    <mergeCell ref="B77:B79"/>
    <mergeCell ref="G78:G79"/>
    <mergeCell ref="A80:A82"/>
    <mergeCell ref="C83:H83"/>
    <mergeCell ref="A77:A79"/>
    <mergeCell ref="B80:B82"/>
    <mergeCell ref="B83:B85"/>
    <mergeCell ref="F84:F85"/>
    <mergeCell ref="G84:G85"/>
    <mergeCell ref="H84:H85"/>
    <mergeCell ref="H78:H79"/>
    <mergeCell ref="C80:H80"/>
    <mergeCell ref="C81:D82"/>
    <mergeCell ref="E81:E82"/>
    <mergeCell ref="F81:F82"/>
    <mergeCell ref="G81:G82"/>
    <mergeCell ref="H81:H82"/>
    <mergeCell ref="C90:D90"/>
    <mergeCell ref="E90:F90"/>
    <mergeCell ref="F78:F79"/>
    <mergeCell ref="A42:A44"/>
    <mergeCell ref="B42:B44"/>
    <mergeCell ref="B45:B46"/>
    <mergeCell ref="C45:M45"/>
    <mergeCell ref="C48:M48"/>
    <mergeCell ref="M49:M50"/>
    <mergeCell ref="M46:M47"/>
    <mergeCell ref="A48:A50"/>
    <mergeCell ref="B48:B49"/>
    <mergeCell ref="L49:L50"/>
    <mergeCell ref="L42:M43"/>
    <mergeCell ref="A45:A47"/>
    <mergeCell ref="L46:L47"/>
    <mergeCell ref="C42:E44"/>
    <mergeCell ref="F42:K43"/>
    <mergeCell ref="F44:H44"/>
    <mergeCell ref="I44:K44"/>
    <mergeCell ref="A83:A85"/>
    <mergeCell ref="B71:B73"/>
    <mergeCell ref="C84:D85"/>
    <mergeCell ref="E84:E85"/>
  </mergeCells>
  <pageMargins left="0.7" right="0.7" top="0.75" bottom="0.75" header="0.3" footer="0.3"/>
  <headerFooter>
    <oddFooter>&amp;C_x000D_&amp;1#&amp;"Calibri"&amp;8&amp;K000000 INTERNAL. This information is accessible to ADB Management and staff. It may be shared outside ADB with appropriate permission.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EE2C7-AE34-4692-9A64-EC675CB9DFA4}">
  <dimension ref="A1:C18"/>
  <sheetViews>
    <sheetView topLeftCell="A3" workbookViewId="0">
      <selection activeCell="A7" sqref="A7"/>
    </sheetView>
  </sheetViews>
  <sheetFormatPr defaultRowHeight="14.5" x14ac:dyDescent="0.35"/>
  <cols>
    <col min="1" max="1" width="50.6328125" customWidth="1"/>
    <col min="2" max="2" width="19.6328125" customWidth="1"/>
    <col min="3" max="3" width="45.453125" customWidth="1"/>
  </cols>
  <sheetData>
    <row r="1" spans="1:3" ht="15" thickBot="1" x14ac:dyDescent="0.4"/>
    <row r="2" spans="1:3" ht="49" customHeight="1" thickTop="1" x14ac:dyDescent="0.35">
      <c r="A2" s="75" t="s">
        <v>2</v>
      </c>
      <c r="B2" s="131" t="s">
        <v>1436</v>
      </c>
      <c r="C2" s="87" t="s">
        <v>1390</v>
      </c>
    </row>
    <row r="3" spans="1:3" ht="25" customHeight="1" x14ac:dyDescent="0.35">
      <c r="A3" s="205" t="s">
        <v>8</v>
      </c>
      <c r="B3" s="211">
        <v>5.0000000000000001E-3</v>
      </c>
      <c r="C3" s="213"/>
    </row>
    <row r="4" spans="1:3" ht="25" customHeight="1" x14ac:dyDescent="0.35">
      <c r="A4" s="205" t="s">
        <v>1153</v>
      </c>
      <c r="B4" s="211">
        <v>0.05</v>
      </c>
      <c r="C4" s="215" t="s">
        <v>1434</v>
      </c>
    </row>
    <row r="5" spans="1:3" ht="25" customHeight="1" x14ac:dyDescent="0.35">
      <c r="A5" s="205" t="s">
        <v>835</v>
      </c>
      <c r="B5" s="211">
        <v>0.01</v>
      </c>
      <c r="C5" s="215" t="s">
        <v>1435</v>
      </c>
    </row>
    <row r="6" spans="1:3" ht="25" customHeight="1" x14ac:dyDescent="0.35">
      <c r="A6" s="205" t="s">
        <v>836</v>
      </c>
      <c r="B6" s="211">
        <v>0.02</v>
      </c>
      <c r="C6" s="215" t="s">
        <v>1435</v>
      </c>
    </row>
    <row r="7" spans="1:3" ht="25" customHeight="1" x14ac:dyDescent="0.35">
      <c r="A7" s="205" t="s">
        <v>837</v>
      </c>
      <c r="B7" s="211">
        <v>0.03</v>
      </c>
      <c r="C7" s="213"/>
    </row>
    <row r="8" spans="1:3" ht="25" customHeight="1" x14ac:dyDescent="0.35">
      <c r="A8" s="205" t="s">
        <v>838</v>
      </c>
      <c r="B8" s="211">
        <v>0.03</v>
      </c>
      <c r="C8" s="213"/>
    </row>
    <row r="9" spans="1:3" ht="25" customHeight="1" x14ac:dyDescent="0.35">
      <c r="A9" s="205" t="s">
        <v>804</v>
      </c>
      <c r="B9" s="211">
        <v>0.04</v>
      </c>
      <c r="C9" s="213"/>
    </row>
    <row r="10" spans="1:3" ht="25" customHeight="1" x14ac:dyDescent="0.35">
      <c r="A10" s="205" t="s">
        <v>1369</v>
      </c>
      <c r="B10" s="211">
        <v>0.02</v>
      </c>
      <c r="C10" s="213"/>
    </row>
    <row r="11" spans="1:3" ht="25" customHeight="1" x14ac:dyDescent="0.35">
      <c r="A11" s="205" t="s">
        <v>1171</v>
      </c>
      <c r="B11" s="211">
        <v>0.02</v>
      </c>
      <c r="C11" s="213"/>
    </row>
    <row r="12" spans="1:3" ht="25" customHeight="1" x14ac:dyDescent="0.35">
      <c r="A12" s="205" t="s">
        <v>1368</v>
      </c>
      <c r="B12" s="211">
        <v>0.01</v>
      </c>
      <c r="C12" s="213"/>
    </row>
    <row r="13" spans="1:3" ht="25" customHeight="1" x14ac:dyDescent="0.35">
      <c r="A13" s="205" t="s">
        <v>1180</v>
      </c>
      <c r="B13" s="211">
        <v>5.0000000000000001E-3</v>
      </c>
      <c r="C13" s="213"/>
    </row>
    <row r="14" spans="1:3" ht="25" customHeight="1" x14ac:dyDescent="0.35">
      <c r="A14" s="205" t="s">
        <v>1224</v>
      </c>
      <c r="B14" s="211">
        <v>0.01</v>
      </c>
      <c r="C14" s="213"/>
    </row>
    <row r="15" spans="1:3" ht="25" customHeight="1" x14ac:dyDescent="0.35">
      <c r="A15" s="205" t="s">
        <v>839</v>
      </c>
      <c r="B15" s="211">
        <v>0.02</v>
      </c>
      <c r="C15" s="213"/>
    </row>
    <row r="16" spans="1:3" ht="25" customHeight="1" x14ac:dyDescent="0.35">
      <c r="A16" s="205" t="s">
        <v>840</v>
      </c>
      <c r="B16" s="211">
        <v>0.02</v>
      </c>
      <c r="C16" s="213"/>
    </row>
    <row r="17" spans="1:3" ht="25" customHeight="1" thickBot="1" x14ac:dyDescent="0.4">
      <c r="A17" s="206" t="s">
        <v>841</v>
      </c>
      <c r="B17" s="212">
        <v>0.02</v>
      </c>
      <c r="C17" s="214"/>
    </row>
    <row r="18" spans="1:3" ht="25" customHeight="1" thickTop="1" x14ac:dyDescent="0.35"/>
  </sheetData>
  <pageMargins left="0.7" right="0.7" top="0.75" bottom="0.75" header="0.3" footer="0.3"/>
  <pageSetup orientation="portrait" horizontalDpi="4294967293" verticalDpi="0" r:id="rId1"/>
  <headerFooter>
    <oddFooter>&amp;C_x000D_&amp;1#&amp;"Calibri"&amp;8&amp;K000000 INTERNAL. This information is accessible to ADB Management and staff. It may be shared outside ADB with appropriate permission.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5285F-E1D2-4460-A2FC-6F5F9D91D4F5}">
  <dimension ref="A1:BT24"/>
  <sheetViews>
    <sheetView workbookViewId="0">
      <selection activeCell="F12" sqref="F12"/>
    </sheetView>
  </sheetViews>
  <sheetFormatPr defaultColWidth="8.81640625" defaultRowHeight="14.5" x14ac:dyDescent="0.35"/>
  <cols>
    <col min="1" max="1" width="92.90625" style="163" customWidth="1"/>
    <col min="2" max="13" width="12.36328125" style="163" customWidth="1"/>
    <col min="14" max="16" width="8.6328125" style="163" customWidth="1"/>
    <col min="17" max="45" width="8.81640625" style="163"/>
    <col min="46" max="46" width="10.1796875" style="163" bestFit="1" customWidth="1"/>
    <col min="47" max="58" width="8.81640625" style="163"/>
    <col min="59" max="59" width="11.1796875" style="163" bestFit="1" customWidth="1"/>
    <col min="60" max="60" width="10.08984375" style="163" bestFit="1" customWidth="1"/>
    <col min="61" max="61" width="11.1796875" style="163" bestFit="1" customWidth="1"/>
    <col min="62" max="72" width="10.1796875" style="163" bestFit="1" customWidth="1"/>
    <col min="73" max="16384" width="8.81640625" style="163"/>
  </cols>
  <sheetData>
    <row r="1" spans="1:72" ht="15" thickBot="1" x14ac:dyDescent="0.4">
      <c r="A1" s="162" t="s">
        <v>802</v>
      </c>
      <c r="B1" s="162"/>
      <c r="C1" s="162"/>
      <c r="D1" s="162"/>
      <c r="E1" s="162"/>
      <c r="F1" s="162"/>
      <c r="G1" s="162"/>
      <c r="H1" s="162"/>
      <c r="I1" s="162"/>
      <c r="J1" s="162"/>
      <c r="K1" s="162"/>
      <c r="L1" s="162"/>
      <c r="M1" s="162"/>
      <c r="N1" s="162"/>
      <c r="O1" s="162"/>
      <c r="P1" s="162"/>
    </row>
    <row r="2" spans="1:72" ht="15" thickTop="1" x14ac:dyDescent="0.35">
      <c r="A2" s="163" t="s">
        <v>805</v>
      </c>
      <c r="B2" s="164">
        <v>0.04</v>
      </c>
      <c r="C2" s="164">
        <v>0.04</v>
      </c>
      <c r="D2" s="164">
        <v>0.04</v>
      </c>
      <c r="E2" s="164">
        <v>0.04</v>
      </c>
      <c r="F2" s="164">
        <v>0.04</v>
      </c>
      <c r="G2" s="164">
        <v>0.04</v>
      </c>
      <c r="H2" s="164">
        <v>0.04</v>
      </c>
      <c r="I2" s="164">
        <v>0.04</v>
      </c>
      <c r="J2" s="164">
        <v>0.04</v>
      </c>
      <c r="K2" s="164">
        <v>0.04</v>
      </c>
      <c r="L2" s="164">
        <v>0.04</v>
      </c>
      <c r="M2" s="164">
        <v>0.04</v>
      </c>
      <c r="N2" s="165">
        <v>0.04</v>
      </c>
      <c r="O2" s="165">
        <v>0.04</v>
      </c>
      <c r="P2" s="165">
        <v>0.04</v>
      </c>
      <c r="Q2" s="166">
        <v>0.04</v>
      </c>
      <c r="R2" s="166">
        <v>0.04</v>
      </c>
      <c r="S2" s="166">
        <v>0.04</v>
      </c>
      <c r="T2" s="166">
        <v>0.04</v>
      </c>
      <c r="U2" s="166">
        <v>0.04</v>
      </c>
      <c r="V2" s="166">
        <v>0.04</v>
      </c>
      <c r="W2" s="166">
        <v>0.04</v>
      </c>
      <c r="X2" s="166">
        <v>0.04</v>
      </c>
      <c r="Y2" s="166">
        <v>0.04</v>
      </c>
      <c r="Z2" s="166">
        <v>0.04</v>
      </c>
      <c r="AA2" s="166">
        <v>0.04</v>
      </c>
      <c r="AB2" s="166">
        <v>0.04</v>
      </c>
      <c r="AC2" s="166">
        <v>0.04</v>
      </c>
      <c r="AD2" s="166">
        <v>0.04</v>
      </c>
      <c r="AE2" s="166">
        <v>0.04</v>
      </c>
      <c r="AF2" s="166">
        <v>0.04</v>
      </c>
      <c r="AG2" s="166">
        <v>0.04</v>
      </c>
      <c r="AH2" s="166">
        <v>0.04</v>
      </c>
      <c r="AI2" s="166">
        <v>0.04</v>
      </c>
      <c r="AJ2" s="166">
        <v>0.04</v>
      </c>
      <c r="AK2" s="166">
        <v>0.04</v>
      </c>
      <c r="AL2" s="166">
        <v>3.5000000000000003E-2</v>
      </c>
      <c r="AM2" s="166">
        <v>3.5000000000000003E-2</v>
      </c>
      <c r="AN2" s="166">
        <v>3.5000000000000003E-2</v>
      </c>
      <c r="AO2" s="166">
        <v>3.5000000000000003E-2</v>
      </c>
      <c r="AP2" s="166">
        <v>3.895870200906542E-2</v>
      </c>
      <c r="AQ2" s="166">
        <v>1.5306552715176964E-2</v>
      </c>
      <c r="AR2" s="166">
        <v>5.0514126239356291E-2</v>
      </c>
      <c r="AS2" s="166">
        <v>2.9140357007972115E-2</v>
      </c>
      <c r="AT2" s="166">
        <v>2.3691646370303576E-2</v>
      </c>
      <c r="AU2" s="166">
        <v>9.8000000000000004E-2</v>
      </c>
      <c r="AV2" s="166">
        <v>0.14199999999999999</v>
      </c>
      <c r="AW2" s="166">
        <v>8.9999999999999993E-3</v>
      </c>
      <c r="AX2" s="166">
        <v>0.13900000000000001</v>
      </c>
      <c r="AY2" s="166">
        <v>9.8000000000000004E-2</v>
      </c>
      <c r="AZ2" s="166">
        <v>-4.5999999999999999E-2</v>
      </c>
      <c r="BA2" s="166">
        <v>-8.0000000000000002E-3</v>
      </c>
      <c r="BB2" s="166">
        <v>-8.0000000000000002E-3</v>
      </c>
      <c r="BC2" s="166">
        <v>-2.1000000000000001E-2</v>
      </c>
      <c r="BD2" s="166">
        <v>8.5000000000000006E-2</v>
      </c>
      <c r="BE2" s="166">
        <v>0.08</v>
      </c>
      <c r="BF2" s="166">
        <v>4.3999999999999997E-2</v>
      </c>
      <c r="BG2" s="191">
        <v>2.9999999999999997E-4</v>
      </c>
      <c r="BH2" s="166">
        <v>3.9E-2</v>
      </c>
      <c r="BI2" s="172">
        <v>0.05</v>
      </c>
      <c r="BJ2" s="172">
        <v>7.4999999999999997E-2</v>
      </c>
      <c r="BK2" s="172">
        <v>0.15</v>
      </c>
      <c r="BL2" s="172">
        <v>0.15</v>
      </c>
      <c r="BM2" s="172">
        <v>7.4999999999999997E-2</v>
      </c>
      <c r="BN2" s="172">
        <v>0.05</v>
      </c>
      <c r="BO2" s="172">
        <v>2.5000000000000001E-2</v>
      </c>
      <c r="BP2" s="172">
        <v>2.5000000000000001E-2</v>
      </c>
      <c r="BQ2" s="172">
        <v>2.5000000000000001E-2</v>
      </c>
      <c r="BR2" s="172">
        <v>2.5000000000000001E-2</v>
      </c>
      <c r="BS2" s="172">
        <v>2.5000000000000001E-2</v>
      </c>
      <c r="BT2" s="173"/>
    </row>
    <row r="3" spans="1:72" s="162" customFormat="1" ht="25" customHeight="1" x14ac:dyDescent="0.35">
      <c r="A3" s="162" t="s">
        <v>803</v>
      </c>
      <c r="B3" s="162">
        <v>1960</v>
      </c>
      <c r="C3" s="162">
        <v>1961</v>
      </c>
      <c r="D3" s="162">
        <v>1962</v>
      </c>
      <c r="E3" s="162">
        <v>1963</v>
      </c>
      <c r="F3" s="162">
        <v>1964</v>
      </c>
      <c r="G3" s="162">
        <v>1965</v>
      </c>
      <c r="H3" s="162">
        <v>1966</v>
      </c>
      <c r="I3" s="162">
        <v>1967</v>
      </c>
      <c r="J3" s="162">
        <v>1968</v>
      </c>
      <c r="K3" s="162">
        <v>1969</v>
      </c>
      <c r="L3" s="162">
        <v>1970</v>
      </c>
      <c r="M3" s="167">
        <v>1971</v>
      </c>
      <c r="N3" s="168">
        <v>1972</v>
      </c>
      <c r="O3" s="168">
        <v>1973</v>
      </c>
      <c r="P3" s="168">
        <v>1974</v>
      </c>
      <c r="Q3" s="168">
        <v>1975</v>
      </c>
      <c r="R3" s="168">
        <v>1976</v>
      </c>
      <c r="S3" s="168">
        <v>1977</v>
      </c>
      <c r="T3" s="168">
        <v>1978</v>
      </c>
      <c r="U3" s="168">
        <v>1979</v>
      </c>
      <c r="V3" s="168">
        <v>1980</v>
      </c>
      <c r="W3" s="168">
        <v>1981</v>
      </c>
      <c r="X3" s="168">
        <v>1982</v>
      </c>
      <c r="Y3" s="168">
        <v>1983</v>
      </c>
      <c r="Z3" s="168">
        <v>1984</v>
      </c>
      <c r="AA3" s="168">
        <v>1985</v>
      </c>
      <c r="AB3" s="168">
        <v>1986</v>
      </c>
      <c r="AC3" s="168">
        <v>1987</v>
      </c>
      <c r="AD3" s="168">
        <v>1988</v>
      </c>
      <c r="AE3" s="168">
        <v>1989</v>
      </c>
      <c r="AF3" s="168">
        <v>1990</v>
      </c>
      <c r="AG3" s="168">
        <v>1991</v>
      </c>
      <c r="AH3" s="168">
        <v>1992</v>
      </c>
      <c r="AI3" s="168">
        <v>1993</v>
      </c>
      <c r="AJ3" s="168">
        <v>1994</v>
      </c>
      <c r="AK3" s="168">
        <v>1995</v>
      </c>
      <c r="AL3" s="168">
        <v>1996</v>
      </c>
      <c r="AM3" s="168">
        <v>1997</v>
      </c>
      <c r="AN3" s="168">
        <v>1998</v>
      </c>
      <c r="AO3" s="168">
        <v>1999</v>
      </c>
      <c r="AP3" s="168">
        <v>2000</v>
      </c>
      <c r="AQ3" s="168">
        <v>2001</v>
      </c>
      <c r="AR3" s="168">
        <v>2002</v>
      </c>
      <c r="AS3" s="168">
        <v>2003</v>
      </c>
      <c r="AT3" s="168">
        <v>2004</v>
      </c>
      <c r="AU3" s="168">
        <v>2005</v>
      </c>
      <c r="AV3" s="168">
        <v>2006</v>
      </c>
      <c r="AW3" s="168">
        <v>2007</v>
      </c>
      <c r="AX3" s="168">
        <v>2008</v>
      </c>
      <c r="AY3" s="168">
        <v>2009</v>
      </c>
      <c r="AZ3" s="168">
        <v>2010</v>
      </c>
      <c r="BA3" s="168">
        <v>2011</v>
      </c>
      <c r="BB3" s="168">
        <v>2012</v>
      </c>
      <c r="BC3" s="168">
        <v>2013</v>
      </c>
      <c r="BD3" s="168">
        <v>2014</v>
      </c>
      <c r="BE3" s="168">
        <v>2015</v>
      </c>
      <c r="BF3" s="168">
        <v>2016</v>
      </c>
      <c r="BG3" s="168">
        <v>2017</v>
      </c>
      <c r="BH3" s="168">
        <v>2018</v>
      </c>
      <c r="BI3" s="207">
        <v>2019</v>
      </c>
      <c r="BJ3" s="207">
        <v>2020</v>
      </c>
      <c r="BK3" s="207">
        <v>2021</v>
      </c>
      <c r="BL3" s="207">
        <v>2022</v>
      </c>
      <c r="BM3" s="207">
        <v>2023</v>
      </c>
      <c r="BN3" s="207">
        <v>2024</v>
      </c>
      <c r="BO3" s="207">
        <v>2025</v>
      </c>
      <c r="BP3" s="207">
        <v>2026</v>
      </c>
      <c r="BQ3" s="207">
        <v>2027</v>
      </c>
      <c r="BR3" s="207">
        <v>2028</v>
      </c>
      <c r="BS3" s="207">
        <v>2029</v>
      </c>
      <c r="BT3" s="208">
        <v>2030</v>
      </c>
    </row>
    <row r="4" spans="1:72" ht="15" thickBot="1" x14ac:dyDescent="0.4">
      <c r="B4" s="169">
        <f t="shared" ref="B4" si="0">C4/(1+B2)</f>
        <v>9.836879534356667E-2</v>
      </c>
      <c r="C4" s="169">
        <f t="shared" ref="C4" si="1">D4/(1+C2)</f>
        <v>0.10230354715730934</v>
      </c>
      <c r="D4" s="169">
        <f t="shared" ref="D4" si="2">E4/(1+D2)</f>
        <v>0.10639568904360172</v>
      </c>
      <c r="E4" s="169">
        <f t="shared" ref="E4" si="3">F4/(1+E2)</f>
        <v>0.11065151660534579</v>
      </c>
      <c r="F4" s="169">
        <f t="shared" ref="F4" si="4">G4/(1+F2)</f>
        <v>0.11507757726955962</v>
      </c>
      <c r="G4" s="169">
        <f t="shared" ref="G4" si="5">H4/(1+G2)</f>
        <v>0.11968068036034202</v>
      </c>
      <c r="H4" s="169">
        <f t="shared" ref="H4" si="6">I4/(1+H2)</f>
        <v>0.1244679075747557</v>
      </c>
      <c r="I4" s="169">
        <f t="shared" ref="I4" si="7">J4/(1+I2)</f>
        <v>0.12944662387774594</v>
      </c>
      <c r="J4" s="169">
        <f t="shared" ref="J4" si="8">K4/(1+J2)</f>
        <v>0.1346244888328558</v>
      </c>
      <c r="K4" s="169">
        <f t="shared" ref="K4" si="9">L4/(1+K2)</f>
        <v>0.14000946838617004</v>
      </c>
      <c r="L4" s="169">
        <f t="shared" ref="L4" si="10">M4/(1+L2)</f>
        <v>0.14560984712161684</v>
      </c>
      <c r="M4" s="169">
        <f t="shared" ref="M4:BF4" si="11">N4/(1+M2)</f>
        <v>0.15143424100648151</v>
      </c>
      <c r="N4" s="170">
        <f t="shared" si="11"/>
        <v>0.15749161064674078</v>
      </c>
      <c r="O4" s="170">
        <f t="shared" si="11"/>
        <v>0.1637912750726104</v>
      </c>
      <c r="P4" s="170">
        <f t="shared" si="11"/>
        <v>0.17034292607551482</v>
      </c>
      <c r="Q4" s="170">
        <f t="shared" si="11"/>
        <v>0.17715664311853543</v>
      </c>
      <c r="R4" s="170">
        <f t="shared" si="11"/>
        <v>0.18424290884327685</v>
      </c>
      <c r="S4" s="170">
        <f t="shared" si="11"/>
        <v>0.19161262519700792</v>
      </c>
      <c r="T4" s="170">
        <f t="shared" si="11"/>
        <v>0.19927713020488824</v>
      </c>
      <c r="U4" s="170">
        <f t="shared" si="11"/>
        <v>0.20724821541308378</v>
      </c>
      <c r="V4" s="170">
        <f t="shared" si="11"/>
        <v>0.21553814402960714</v>
      </c>
      <c r="W4" s="170">
        <f t="shared" si="11"/>
        <v>0.22415966979079144</v>
      </c>
      <c r="X4" s="170">
        <f t="shared" si="11"/>
        <v>0.23312605658242311</v>
      </c>
      <c r="Y4" s="170">
        <f t="shared" si="11"/>
        <v>0.24245109884572005</v>
      </c>
      <c r="Z4" s="170">
        <f t="shared" si="11"/>
        <v>0.25214914279954886</v>
      </c>
      <c r="AA4" s="170">
        <f t="shared" si="11"/>
        <v>0.26223510851153081</v>
      </c>
      <c r="AB4" s="170">
        <f t="shared" si="11"/>
        <v>0.27272451285199206</v>
      </c>
      <c r="AC4" s="170">
        <f t="shared" si="11"/>
        <v>0.28363349336607174</v>
      </c>
      <c r="AD4" s="170">
        <f t="shared" si="11"/>
        <v>0.2949788331007146</v>
      </c>
      <c r="AE4" s="170">
        <f t="shared" si="11"/>
        <v>0.30677798642474319</v>
      </c>
      <c r="AF4" s="170">
        <f t="shared" si="11"/>
        <v>0.31904910588173291</v>
      </c>
      <c r="AG4" s="170">
        <f t="shared" si="11"/>
        <v>0.33181107011700223</v>
      </c>
      <c r="AH4" s="170">
        <f t="shared" si="11"/>
        <v>0.34508351292168232</v>
      </c>
      <c r="AI4" s="170">
        <f t="shared" si="11"/>
        <v>0.35888685343854965</v>
      </c>
      <c r="AJ4" s="170">
        <f t="shared" si="11"/>
        <v>0.37324232757609166</v>
      </c>
      <c r="AK4" s="170">
        <f t="shared" si="11"/>
        <v>0.38817202067913537</v>
      </c>
      <c r="AL4" s="170">
        <f t="shared" si="11"/>
        <v>0.40369890150630078</v>
      </c>
      <c r="AM4" s="170">
        <f t="shared" si="11"/>
        <v>0.41782836305902127</v>
      </c>
      <c r="AN4" s="170">
        <f t="shared" si="11"/>
        <v>0.43245235576608698</v>
      </c>
      <c r="AO4" s="170">
        <f t="shared" si="11"/>
        <v>0.44758818821789997</v>
      </c>
      <c r="AP4" s="170">
        <f t="shared" si="11"/>
        <v>0.46325377480552643</v>
      </c>
      <c r="AQ4" s="170">
        <f t="shared" si="11"/>
        <v>0.4813015405727496</v>
      </c>
      <c r="AR4" s="170">
        <f t="shared" si="11"/>
        <v>0.48866860797542228</v>
      </c>
      <c r="AS4" s="170">
        <f t="shared" si="11"/>
        <v>0.51335327572790324</v>
      </c>
      <c r="AT4" s="170">
        <f t="shared" si="11"/>
        <v>0.52831257345382621</v>
      </c>
      <c r="AU4" s="170">
        <f t="shared" si="11"/>
        <v>0.54082916811707937</v>
      </c>
      <c r="AV4" s="170">
        <f t="shared" si="11"/>
        <v>0.59383042659255314</v>
      </c>
      <c r="AW4" s="170">
        <f t="shared" si="11"/>
        <v>0.6781543471686956</v>
      </c>
      <c r="AX4" s="170">
        <f t="shared" si="11"/>
        <v>0.68425773629321385</v>
      </c>
      <c r="AY4" s="170">
        <f t="shared" si="11"/>
        <v>0.77936956163797055</v>
      </c>
      <c r="AZ4" s="170">
        <f t="shared" si="11"/>
        <v>0.85574777867849172</v>
      </c>
      <c r="BA4" s="170">
        <f t="shared" si="11"/>
        <v>0.81638338085928108</v>
      </c>
      <c r="BB4" s="170">
        <f t="shared" si="11"/>
        <v>0.80985231381240685</v>
      </c>
      <c r="BC4" s="170">
        <f t="shared" si="11"/>
        <v>0.8033734953019076</v>
      </c>
      <c r="BD4" s="170">
        <f t="shared" si="11"/>
        <v>0.78650265190056756</v>
      </c>
      <c r="BE4" s="170">
        <f t="shared" si="11"/>
        <v>0.85335537731211575</v>
      </c>
      <c r="BF4" s="170">
        <f t="shared" si="11"/>
        <v>0.92162380749708506</v>
      </c>
      <c r="BG4" s="170">
        <f>BH4/(1+BG2)</f>
        <v>0.96217525502695689</v>
      </c>
      <c r="BH4" s="170">
        <f>BI4/(1+BH2)</f>
        <v>0.9624639076034649</v>
      </c>
      <c r="BI4" s="209">
        <v>1</v>
      </c>
      <c r="BJ4" s="209">
        <f>BI4*(1+BI$2)</f>
        <v>1.05</v>
      </c>
      <c r="BK4" s="209">
        <f t="shared" ref="BK4:BT4" si="12">BJ4*(1+BJ$2)</f>
        <v>1.1287499999999999</v>
      </c>
      <c r="BL4" s="209">
        <f t="shared" si="12"/>
        <v>1.2980624999999999</v>
      </c>
      <c r="BM4" s="209">
        <f t="shared" si="12"/>
        <v>1.4927718749999999</v>
      </c>
      <c r="BN4" s="209">
        <f t="shared" si="12"/>
        <v>1.6047297656249997</v>
      </c>
      <c r="BO4" s="209">
        <f t="shared" si="12"/>
        <v>1.6849662539062498</v>
      </c>
      <c r="BP4" s="209">
        <f t="shared" si="12"/>
        <v>1.727090410253906</v>
      </c>
      <c r="BQ4" s="209">
        <f t="shared" si="12"/>
        <v>1.7702676705102536</v>
      </c>
      <c r="BR4" s="209">
        <f t="shared" si="12"/>
        <v>1.8145243622730098</v>
      </c>
      <c r="BS4" s="209">
        <f t="shared" si="12"/>
        <v>1.859887471329835</v>
      </c>
      <c r="BT4" s="210">
        <f t="shared" si="12"/>
        <v>1.9063846581130808</v>
      </c>
    </row>
    <row r="5" spans="1:72" ht="15" thickTop="1" x14ac:dyDescent="0.35"/>
    <row r="8" spans="1:72" x14ac:dyDescent="0.35">
      <c r="AT8" s="171"/>
    </row>
    <row r="9" spans="1:72" x14ac:dyDescent="0.35">
      <c r="BH9">
        <v>2005</v>
      </c>
      <c r="BI9" s="190">
        <v>9.8000000000000007</v>
      </c>
    </row>
    <row r="10" spans="1:72" x14ac:dyDescent="0.35">
      <c r="BH10">
        <v>2006</v>
      </c>
      <c r="BI10" s="190">
        <v>14.2</v>
      </c>
    </row>
    <row r="11" spans="1:72" x14ac:dyDescent="0.35">
      <c r="A11">
        <v>2005</v>
      </c>
      <c r="B11" s="190">
        <v>9.8000000000000007</v>
      </c>
      <c r="BH11">
        <v>2007</v>
      </c>
      <c r="BI11" s="190">
        <v>0.9</v>
      </c>
    </row>
    <row r="12" spans="1:72" x14ac:dyDescent="0.35">
      <c r="A12">
        <v>2006</v>
      </c>
      <c r="B12" s="190">
        <v>14.2</v>
      </c>
      <c r="BH12">
        <v>2008</v>
      </c>
      <c r="BI12" s="190">
        <v>13.9</v>
      </c>
    </row>
    <row r="13" spans="1:72" x14ac:dyDescent="0.35">
      <c r="A13">
        <v>2007</v>
      </c>
      <c r="B13" s="190">
        <v>0.9</v>
      </c>
      <c r="BH13">
        <v>2009</v>
      </c>
      <c r="BI13" s="190">
        <v>9.8000000000000007</v>
      </c>
    </row>
    <row r="14" spans="1:72" x14ac:dyDescent="0.35">
      <c r="A14">
        <v>2008</v>
      </c>
      <c r="B14" s="190">
        <v>13.9</v>
      </c>
      <c r="BH14">
        <v>2010</v>
      </c>
      <c r="BI14" s="190" t="s">
        <v>1101</v>
      </c>
    </row>
    <row r="15" spans="1:72" x14ac:dyDescent="0.35">
      <c r="A15">
        <v>2009</v>
      </c>
      <c r="B15" s="190">
        <v>9.8000000000000007</v>
      </c>
      <c r="BH15">
        <v>2011</v>
      </c>
      <c r="BI15" s="190" t="s">
        <v>1102</v>
      </c>
    </row>
    <row r="16" spans="1:72" x14ac:dyDescent="0.35">
      <c r="A16">
        <v>2010</v>
      </c>
      <c r="B16" s="190" t="s">
        <v>1101</v>
      </c>
      <c r="BH16">
        <v>2012</v>
      </c>
      <c r="BI16" s="190" t="s">
        <v>1102</v>
      </c>
    </row>
    <row r="17" spans="1:61" x14ac:dyDescent="0.35">
      <c r="A17">
        <v>2011</v>
      </c>
      <c r="B17" s="190" t="s">
        <v>1102</v>
      </c>
      <c r="BH17">
        <v>2013</v>
      </c>
      <c r="BI17" s="190" t="s">
        <v>1103</v>
      </c>
    </row>
    <row r="18" spans="1:61" x14ac:dyDescent="0.35">
      <c r="A18">
        <v>2012</v>
      </c>
      <c r="B18" s="190" t="s">
        <v>1102</v>
      </c>
      <c r="BH18">
        <v>2014</v>
      </c>
      <c r="BI18" s="190">
        <v>8.5</v>
      </c>
    </row>
    <row r="19" spans="1:61" x14ac:dyDescent="0.35">
      <c r="A19">
        <v>2013</v>
      </c>
      <c r="B19" s="190" t="s">
        <v>1103</v>
      </c>
      <c r="BH19" s="163">
        <v>2015</v>
      </c>
      <c r="BI19" s="163">
        <v>8</v>
      </c>
    </row>
    <row r="20" spans="1:61" x14ac:dyDescent="0.35">
      <c r="A20">
        <v>2014</v>
      </c>
      <c r="B20" s="190">
        <v>8.5</v>
      </c>
      <c r="BH20" s="163">
        <v>2016</v>
      </c>
      <c r="BI20" s="163">
        <v>4.4000000000000004</v>
      </c>
    </row>
    <row r="21" spans="1:61" x14ac:dyDescent="0.35">
      <c r="A21" s="163">
        <v>2015</v>
      </c>
      <c r="B21" s="163">
        <v>8</v>
      </c>
      <c r="BH21" s="163">
        <v>2017</v>
      </c>
      <c r="BI21" s="163">
        <v>0.03</v>
      </c>
    </row>
    <row r="22" spans="1:61" x14ac:dyDescent="0.35">
      <c r="A22" s="163">
        <v>2016</v>
      </c>
      <c r="B22" s="163">
        <v>4.4000000000000004</v>
      </c>
      <c r="BH22" s="163">
        <v>2018</v>
      </c>
      <c r="BI22" s="163">
        <v>3.9</v>
      </c>
    </row>
    <row r="23" spans="1:61" x14ac:dyDescent="0.35">
      <c r="A23" s="163">
        <v>2017</v>
      </c>
      <c r="B23" s="163">
        <v>0.03</v>
      </c>
    </row>
    <row r="24" spans="1:61" x14ac:dyDescent="0.35">
      <c r="A24" s="163">
        <v>2018</v>
      </c>
      <c r="B24" s="163">
        <v>3.9</v>
      </c>
    </row>
  </sheetData>
  <pageMargins left="0.7" right="0.7" top="0.75" bottom="0.75" header="0.3" footer="0.3"/>
  <pageSetup orientation="portrait" horizontalDpi="4294967293" verticalDpi="0" r:id="rId1"/>
  <headerFooter>
    <oddFooter>&amp;C_x000D_&amp;1#&amp;"Calibri"&amp;8&amp;K000000 INTERNAL. This information is accessible to ADB Management and staff. It may be shared outside ADB with appropriate permission.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3:U158"/>
  <sheetViews>
    <sheetView topLeftCell="J37" zoomScale="75" zoomScaleNormal="75" workbookViewId="0">
      <selection activeCell="V45" sqref="V45"/>
    </sheetView>
  </sheetViews>
  <sheetFormatPr defaultRowHeight="14.5" x14ac:dyDescent="0.35"/>
  <cols>
    <col min="2" max="2" width="62.1796875" customWidth="1"/>
    <col min="3" max="3" width="16.453125" style="6" customWidth="1"/>
    <col min="4" max="4" width="17.1796875" customWidth="1"/>
    <col min="7" max="7" width="16" customWidth="1"/>
    <col min="8" max="17" width="12.6328125" customWidth="1"/>
    <col min="18" max="18" width="14.36328125" customWidth="1"/>
    <col min="19" max="20" width="12.6328125" customWidth="1"/>
    <col min="21" max="21" width="14.81640625" customWidth="1"/>
  </cols>
  <sheetData>
    <row r="3" spans="2:21" ht="15" thickBot="1" x14ac:dyDescent="0.4"/>
    <row r="4" spans="2:21" ht="60" customHeight="1" thickTop="1" thickBot="1" x14ac:dyDescent="0.4">
      <c r="B4" s="148" t="s">
        <v>670</v>
      </c>
      <c r="C4" s="149" t="s">
        <v>661</v>
      </c>
      <c r="G4" s="8" t="s">
        <v>8</v>
      </c>
      <c r="H4" s="8"/>
    </row>
    <row r="5" spans="2:21" s="22" customFormat="1" ht="60" customHeight="1" thickTop="1" x14ac:dyDescent="0.35">
      <c r="B5" s="150" t="s">
        <v>42</v>
      </c>
      <c r="C5" s="151">
        <v>5</v>
      </c>
      <c r="G5" s="128" t="s">
        <v>655</v>
      </c>
      <c r="H5" s="129" t="s">
        <v>683</v>
      </c>
      <c r="I5" s="129" t="s">
        <v>1577</v>
      </c>
      <c r="J5" s="129" t="s">
        <v>684</v>
      </c>
      <c r="K5" s="129" t="s">
        <v>1437</v>
      </c>
      <c r="L5" s="129" t="s">
        <v>685</v>
      </c>
      <c r="M5" s="129" t="s">
        <v>166</v>
      </c>
      <c r="N5" s="129" t="s">
        <v>1578</v>
      </c>
      <c r="O5" s="129"/>
      <c r="P5" s="129"/>
      <c r="Q5" s="129"/>
      <c r="R5" s="127" t="s">
        <v>1575</v>
      </c>
      <c r="S5" s="123"/>
      <c r="T5" s="131" t="s">
        <v>52</v>
      </c>
      <c r="U5" s="87" t="s">
        <v>671</v>
      </c>
    </row>
    <row r="6" spans="2:21" s="22" customFormat="1" ht="60" customHeight="1" x14ac:dyDescent="0.35">
      <c r="B6" s="152" t="s">
        <v>43</v>
      </c>
      <c r="C6" s="153">
        <v>4</v>
      </c>
      <c r="G6" s="37" t="s">
        <v>658</v>
      </c>
      <c r="H6" s="30">
        <v>5</v>
      </c>
      <c r="I6" s="30">
        <v>5</v>
      </c>
      <c r="J6" s="30">
        <v>5</v>
      </c>
      <c r="K6" s="30">
        <v>5</v>
      </c>
      <c r="L6" s="30">
        <v>5</v>
      </c>
      <c r="M6" s="30">
        <v>5</v>
      </c>
      <c r="N6" s="30">
        <v>5</v>
      </c>
      <c r="O6" s="30"/>
      <c r="P6" s="30"/>
      <c r="Q6" s="30"/>
      <c r="R6" s="29">
        <v>5</v>
      </c>
      <c r="S6" s="42"/>
      <c r="T6" s="132"/>
      <c r="U6" s="130"/>
    </row>
    <row r="7" spans="2:21" s="22" customFormat="1" ht="60" customHeight="1" x14ac:dyDescent="0.35">
      <c r="B7" s="154" t="s">
        <v>44</v>
      </c>
      <c r="C7" s="155">
        <v>3</v>
      </c>
      <c r="G7" s="37" t="s">
        <v>686</v>
      </c>
      <c r="H7" s="30" t="s">
        <v>687</v>
      </c>
      <c r="I7" s="30" t="s">
        <v>687</v>
      </c>
      <c r="J7" s="30" t="s">
        <v>687</v>
      </c>
      <c r="K7" s="30" t="s">
        <v>687</v>
      </c>
      <c r="L7" s="30" t="s">
        <v>687</v>
      </c>
      <c r="M7" s="30" t="s">
        <v>687</v>
      </c>
      <c r="N7" s="30" t="s">
        <v>687</v>
      </c>
      <c r="O7" s="30"/>
      <c r="P7" s="30"/>
      <c r="Q7" s="30"/>
      <c r="R7" s="29" t="s">
        <v>687</v>
      </c>
      <c r="S7" s="42"/>
      <c r="T7" s="132"/>
      <c r="U7" s="130"/>
    </row>
    <row r="8" spans="2:21" s="22" customFormat="1" ht="60" customHeight="1" x14ac:dyDescent="0.35">
      <c r="B8" s="156" t="s">
        <v>45</v>
      </c>
      <c r="C8" s="157">
        <v>2</v>
      </c>
      <c r="G8" s="37" t="s">
        <v>656</v>
      </c>
      <c r="H8" s="30">
        <v>3</v>
      </c>
      <c r="I8" s="30">
        <v>5</v>
      </c>
      <c r="J8" s="30">
        <v>1</v>
      </c>
      <c r="K8" s="30">
        <v>1</v>
      </c>
      <c r="L8" s="30">
        <v>1</v>
      </c>
      <c r="M8" s="30">
        <v>1</v>
      </c>
      <c r="N8" s="30">
        <v>2</v>
      </c>
      <c r="O8" s="30"/>
      <c r="P8" s="30"/>
      <c r="Q8" s="30"/>
      <c r="R8" s="29">
        <v>6</v>
      </c>
      <c r="S8" s="42"/>
      <c r="T8" s="132"/>
      <c r="U8" s="130"/>
    </row>
    <row r="9" spans="2:21" s="22" customFormat="1" ht="60" customHeight="1" x14ac:dyDescent="0.35">
      <c r="B9" s="158" t="s">
        <v>46</v>
      </c>
      <c r="C9" s="159">
        <v>1</v>
      </c>
      <c r="G9" s="58" t="s">
        <v>688</v>
      </c>
      <c r="H9" s="137" t="s">
        <v>687</v>
      </c>
      <c r="I9" s="137" t="s">
        <v>687</v>
      </c>
      <c r="J9" s="137" t="s">
        <v>687</v>
      </c>
      <c r="K9" s="137" t="s">
        <v>687</v>
      </c>
      <c r="L9" s="137" t="s">
        <v>687</v>
      </c>
      <c r="M9" s="137" t="s">
        <v>687</v>
      </c>
      <c r="N9" s="137" t="s">
        <v>687</v>
      </c>
      <c r="O9" s="137"/>
      <c r="P9" s="137"/>
      <c r="Q9" s="137"/>
      <c r="R9" s="138" t="s">
        <v>687</v>
      </c>
      <c r="S9" s="139"/>
      <c r="T9" s="140" t="s">
        <v>687</v>
      </c>
      <c r="U9" s="141"/>
    </row>
    <row r="10" spans="2:21" s="22" customFormat="1" ht="60" customHeight="1" thickBot="1" x14ac:dyDescent="0.4">
      <c r="B10" s="160" t="s">
        <v>667</v>
      </c>
      <c r="C10" s="161">
        <v>0</v>
      </c>
      <c r="G10" s="68" t="s">
        <v>657</v>
      </c>
      <c r="H10" s="33">
        <f>H8*H6</f>
        <v>15</v>
      </c>
      <c r="I10" s="33">
        <f t="shared" ref="I10:R10" si="0">I8*I6</f>
        <v>25</v>
      </c>
      <c r="J10" s="33">
        <f t="shared" si="0"/>
        <v>5</v>
      </c>
      <c r="K10" s="33">
        <f t="shared" si="0"/>
        <v>5</v>
      </c>
      <c r="L10" s="33">
        <f t="shared" si="0"/>
        <v>5</v>
      </c>
      <c r="M10" s="33">
        <f t="shared" si="0"/>
        <v>5</v>
      </c>
      <c r="N10" s="33">
        <f t="shared" si="0"/>
        <v>10</v>
      </c>
      <c r="O10" s="33"/>
      <c r="P10" s="33"/>
      <c r="Q10" s="33"/>
      <c r="R10" s="32">
        <f t="shared" si="0"/>
        <v>30</v>
      </c>
      <c r="S10" s="43"/>
      <c r="T10" s="133">
        <f>SUM(H10:S10)</f>
        <v>100</v>
      </c>
      <c r="U10" s="142" t="s">
        <v>1438</v>
      </c>
    </row>
    <row r="11" spans="2:21" s="22" customFormat="1" ht="60" customHeight="1" thickTop="1" thickBot="1" x14ac:dyDescent="0.4">
      <c r="G11" s="2" t="s">
        <v>123</v>
      </c>
    </row>
    <row r="12" spans="2:21" s="22" customFormat="1" ht="60" customHeight="1" thickTop="1" x14ac:dyDescent="0.35">
      <c r="G12" s="128" t="s">
        <v>655</v>
      </c>
      <c r="H12" s="129" t="s">
        <v>678</v>
      </c>
      <c r="I12" s="129" t="s">
        <v>679</v>
      </c>
      <c r="J12" s="129" t="s">
        <v>680</v>
      </c>
      <c r="K12" s="129" t="s">
        <v>681</v>
      </c>
      <c r="L12" s="129" t="s">
        <v>682</v>
      </c>
      <c r="M12" s="129"/>
      <c r="N12" s="129"/>
      <c r="O12" s="129"/>
      <c r="P12" s="129"/>
      <c r="Q12" s="129"/>
      <c r="R12" s="127" t="s">
        <v>1575</v>
      </c>
      <c r="S12" s="134"/>
      <c r="T12" s="131" t="s">
        <v>52</v>
      </c>
      <c r="U12" s="87" t="s">
        <v>671</v>
      </c>
    </row>
    <row r="13" spans="2:21" ht="60" customHeight="1" x14ac:dyDescent="0.35">
      <c r="B13" s="91"/>
      <c r="C13" s="93"/>
      <c r="G13" s="37" t="s">
        <v>658</v>
      </c>
      <c r="H13" s="30">
        <v>5</v>
      </c>
      <c r="I13" s="30">
        <v>5</v>
      </c>
      <c r="J13" s="30">
        <v>5</v>
      </c>
      <c r="K13" s="30">
        <v>5</v>
      </c>
      <c r="L13" s="30">
        <v>5</v>
      </c>
      <c r="M13" s="3"/>
      <c r="N13" s="3"/>
      <c r="O13" s="3"/>
      <c r="P13" s="3"/>
      <c r="Q13" s="3"/>
      <c r="R13" s="29">
        <v>5</v>
      </c>
      <c r="S13" s="135"/>
      <c r="T13" s="132"/>
      <c r="U13" s="130"/>
    </row>
    <row r="14" spans="2:21" ht="60" customHeight="1" x14ac:dyDescent="0.35">
      <c r="B14" s="91"/>
      <c r="C14" s="93"/>
      <c r="G14" s="37" t="s">
        <v>686</v>
      </c>
      <c r="H14" s="30" t="s">
        <v>687</v>
      </c>
      <c r="I14" s="30" t="s">
        <v>687</v>
      </c>
      <c r="J14" s="30" t="s">
        <v>687</v>
      </c>
      <c r="K14" s="30" t="s">
        <v>687</v>
      </c>
      <c r="L14" s="30" t="s">
        <v>687</v>
      </c>
      <c r="M14" s="3"/>
      <c r="N14" s="3"/>
      <c r="O14" s="3"/>
      <c r="P14" s="3"/>
      <c r="Q14" s="3"/>
      <c r="R14" s="29" t="s">
        <v>687</v>
      </c>
      <c r="S14" s="42"/>
      <c r="T14" s="132"/>
      <c r="U14" s="130"/>
    </row>
    <row r="15" spans="2:21" ht="60" customHeight="1" x14ac:dyDescent="0.35">
      <c r="B15" s="92" t="s">
        <v>47</v>
      </c>
      <c r="C15" s="93"/>
      <c r="G15" s="37" t="s">
        <v>656</v>
      </c>
      <c r="H15" s="30">
        <v>1</v>
      </c>
      <c r="I15" s="30">
        <v>4</v>
      </c>
      <c r="J15" s="30">
        <v>6</v>
      </c>
      <c r="K15" s="30">
        <v>1</v>
      </c>
      <c r="L15" s="30">
        <v>2</v>
      </c>
      <c r="M15" s="3"/>
      <c r="N15" s="3"/>
      <c r="O15" s="3"/>
      <c r="P15" s="3"/>
      <c r="Q15" s="3"/>
      <c r="R15" s="29">
        <v>6</v>
      </c>
      <c r="S15" s="135"/>
      <c r="T15" s="132"/>
      <c r="U15" s="130"/>
    </row>
    <row r="16" spans="2:21" ht="60" customHeight="1" thickBot="1" x14ac:dyDescent="0.4">
      <c r="B16" s="92"/>
      <c r="C16" s="93"/>
      <c r="G16" s="58" t="s">
        <v>688</v>
      </c>
      <c r="H16" s="137" t="s">
        <v>687</v>
      </c>
      <c r="I16" s="137" t="s">
        <v>687</v>
      </c>
      <c r="J16" s="137" t="s">
        <v>687</v>
      </c>
      <c r="K16" s="137" t="s">
        <v>687</v>
      </c>
      <c r="L16" s="137" t="s">
        <v>687</v>
      </c>
      <c r="M16" s="3"/>
      <c r="N16" s="3"/>
      <c r="O16" s="3"/>
      <c r="P16" s="3"/>
      <c r="Q16" s="3"/>
      <c r="R16" s="138" t="s">
        <v>687</v>
      </c>
      <c r="S16" s="139"/>
      <c r="T16" s="140" t="s">
        <v>687</v>
      </c>
      <c r="U16" s="141"/>
    </row>
    <row r="17" spans="2:21" ht="60" customHeight="1" thickTop="1" thickBot="1" x14ac:dyDescent="0.4">
      <c r="B17" s="148" t="s">
        <v>668</v>
      </c>
      <c r="C17" s="149" t="s">
        <v>661</v>
      </c>
      <c r="G17" s="68" t="s">
        <v>657</v>
      </c>
      <c r="H17" s="33">
        <f>H15*H13</f>
        <v>5</v>
      </c>
      <c r="I17" s="33">
        <f>I15*I13</f>
        <v>20</v>
      </c>
      <c r="J17" s="33">
        <f>J15*J13</f>
        <v>30</v>
      </c>
      <c r="K17" s="33">
        <f>K15*K13</f>
        <v>5</v>
      </c>
      <c r="L17" s="33">
        <f>L15*L13</f>
        <v>10</v>
      </c>
      <c r="M17" s="124"/>
      <c r="N17" s="124"/>
      <c r="O17" s="124"/>
      <c r="P17" s="124"/>
      <c r="Q17" s="124"/>
      <c r="R17" s="32">
        <f>R15*R13</f>
        <v>30</v>
      </c>
      <c r="S17" s="136"/>
      <c r="T17" s="133">
        <f>SUM(H17:S17)</f>
        <v>100</v>
      </c>
      <c r="U17" s="142" t="s">
        <v>672</v>
      </c>
    </row>
    <row r="18" spans="2:21" ht="60" customHeight="1" thickTop="1" x14ac:dyDescent="0.35">
      <c r="B18" s="150" t="s">
        <v>663</v>
      </c>
      <c r="C18" s="151">
        <v>5</v>
      </c>
    </row>
    <row r="19" spans="2:21" ht="60" customHeight="1" x14ac:dyDescent="0.35">
      <c r="B19" s="152" t="s">
        <v>662</v>
      </c>
      <c r="C19" s="153">
        <v>4</v>
      </c>
    </row>
    <row r="20" spans="2:21" ht="60" customHeight="1" thickBot="1" x14ac:dyDescent="0.4">
      <c r="B20" s="154" t="s">
        <v>664</v>
      </c>
      <c r="C20" s="155">
        <v>3</v>
      </c>
      <c r="G20" s="2" t="s">
        <v>129</v>
      </c>
      <c r="H20" s="22"/>
      <c r="I20" s="22"/>
      <c r="J20" s="22"/>
      <c r="K20" s="22"/>
      <c r="L20" s="22"/>
      <c r="M20" s="22"/>
      <c r="N20" s="22"/>
      <c r="O20" s="22"/>
      <c r="P20" s="22"/>
      <c r="Q20" s="22"/>
      <c r="R20" s="22"/>
      <c r="S20" s="22"/>
      <c r="T20" s="22"/>
    </row>
    <row r="21" spans="2:21" ht="60" customHeight="1" thickTop="1" x14ac:dyDescent="0.35">
      <c r="B21" s="156" t="s">
        <v>665</v>
      </c>
      <c r="C21" s="157">
        <v>2</v>
      </c>
      <c r="G21" s="128" t="s">
        <v>655</v>
      </c>
      <c r="H21" s="129" t="s">
        <v>678</v>
      </c>
      <c r="I21" s="129" t="s">
        <v>679</v>
      </c>
      <c r="J21" s="146"/>
      <c r="K21" s="146"/>
      <c r="L21" s="146"/>
      <c r="M21" s="146"/>
      <c r="N21" s="146"/>
      <c r="O21" s="146"/>
      <c r="P21" s="146"/>
      <c r="Q21" s="146"/>
      <c r="R21" s="127" t="s">
        <v>1576</v>
      </c>
      <c r="S21" s="123"/>
      <c r="T21" s="131" t="s">
        <v>52</v>
      </c>
      <c r="U21" s="87" t="s">
        <v>671</v>
      </c>
    </row>
    <row r="22" spans="2:21" ht="60" customHeight="1" x14ac:dyDescent="0.35">
      <c r="B22" s="158" t="s">
        <v>666</v>
      </c>
      <c r="C22" s="159">
        <v>1</v>
      </c>
      <c r="G22" s="37" t="s">
        <v>658</v>
      </c>
      <c r="H22" s="30">
        <v>5</v>
      </c>
      <c r="I22" s="30">
        <v>5</v>
      </c>
      <c r="J22" s="3"/>
      <c r="K22" s="3"/>
      <c r="L22" s="3"/>
      <c r="M22" s="3"/>
      <c r="N22" s="3"/>
      <c r="O22" s="3"/>
      <c r="P22" s="3"/>
      <c r="Q22" s="3"/>
      <c r="R22" s="29">
        <v>5</v>
      </c>
      <c r="S22" s="42"/>
      <c r="T22" s="132"/>
      <c r="U22" s="130"/>
    </row>
    <row r="23" spans="2:21" ht="60" customHeight="1" thickBot="1" x14ac:dyDescent="0.4">
      <c r="B23" s="160" t="s">
        <v>667</v>
      </c>
      <c r="C23" s="161">
        <v>0</v>
      </c>
      <c r="G23" s="37" t="s">
        <v>686</v>
      </c>
      <c r="H23" s="30" t="s">
        <v>687</v>
      </c>
      <c r="I23" s="30" t="s">
        <v>687</v>
      </c>
      <c r="J23" s="3"/>
      <c r="K23" s="3"/>
      <c r="L23" s="3"/>
      <c r="M23" s="3"/>
      <c r="N23" s="3"/>
      <c r="O23" s="3"/>
      <c r="P23" s="3"/>
      <c r="Q23" s="3"/>
      <c r="R23" s="29" t="s">
        <v>687</v>
      </c>
      <c r="S23" s="42"/>
      <c r="T23" s="132"/>
      <c r="U23" s="130"/>
    </row>
    <row r="24" spans="2:21" ht="60" customHeight="1" thickTop="1" x14ac:dyDescent="0.35">
      <c r="G24" s="37" t="s">
        <v>656</v>
      </c>
      <c r="H24" s="30">
        <v>4</v>
      </c>
      <c r="I24" s="30">
        <v>10</v>
      </c>
      <c r="J24" s="3"/>
      <c r="K24" s="3"/>
      <c r="L24" s="3"/>
      <c r="M24" s="3"/>
      <c r="N24" s="3"/>
      <c r="O24" s="3"/>
      <c r="P24" s="3"/>
      <c r="Q24" s="3"/>
      <c r="R24" s="29">
        <v>6</v>
      </c>
      <c r="S24" s="42"/>
      <c r="T24" s="132"/>
      <c r="U24" s="130"/>
    </row>
    <row r="25" spans="2:21" ht="60" customHeight="1" x14ac:dyDescent="0.35">
      <c r="B25" s="143"/>
      <c r="C25" s="144"/>
      <c r="G25" s="37" t="s">
        <v>688</v>
      </c>
      <c r="H25" s="30" t="s">
        <v>687</v>
      </c>
      <c r="I25" s="30" t="s">
        <v>687</v>
      </c>
      <c r="J25" s="3"/>
      <c r="K25" s="3"/>
      <c r="L25" s="3"/>
      <c r="M25" s="3"/>
      <c r="N25" s="3"/>
      <c r="O25" s="3"/>
      <c r="P25" s="3"/>
      <c r="Q25" s="3"/>
      <c r="R25" s="29" t="s">
        <v>687</v>
      </c>
      <c r="S25" s="42"/>
      <c r="T25" s="132" t="s">
        <v>687</v>
      </c>
      <c r="U25" s="130"/>
    </row>
    <row r="26" spans="2:21" ht="60" customHeight="1" thickBot="1" x14ac:dyDescent="0.4">
      <c r="B26" s="91"/>
      <c r="C26" s="93"/>
      <c r="G26" s="68" t="s">
        <v>657</v>
      </c>
      <c r="H26" s="33">
        <f>H24*H22</f>
        <v>20</v>
      </c>
      <c r="I26" s="33">
        <f>I24*I22</f>
        <v>50</v>
      </c>
      <c r="J26" s="145"/>
      <c r="K26" s="145"/>
      <c r="L26" s="145"/>
      <c r="M26" s="124"/>
      <c r="N26" s="124"/>
      <c r="O26" s="124"/>
      <c r="P26" s="124"/>
      <c r="Q26" s="124"/>
      <c r="R26" s="32">
        <f>R24*R22</f>
        <v>30</v>
      </c>
      <c r="S26" s="43"/>
      <c r="T26" s="133">
        <f>SUM(H26:S26)</f>
        <v>100</v>
      </c>
      <c r="U26" s="142" t="s">
        <v>672</v>
      </c>
    </row>
    <row r="27" spans="2:21" ht="60" customHeight="1" thickTop="1" thickBot="1" x14ac:dyDescent="0.4">
      <c r="B27" s="125" t="s">
        <v>39</v>
      </c>
      <c r="C27" s="93"/>
    </row>
    <row r="28" spans="2:21" ht="60" customHeight="1" thickTop="1" thickBot="1" x14ac:dyDescent="0.4">
      <c r="B28" s="148" t="s">
        <v>669</v>
      </c>
      <c r="C28" s="149" t="s">
        <v>661</v>
      </c>
      <c r="G28" s="2" t="s">
        <v>56</v>
      </c>
      <c r="H28" s="22"/>
      <c r="I28" s="22"/>
      <c r="J28" s="22"/>
      <c r="K28" s="22"/>
      <c r="L28" s="22"/>
      <c r="M28" s="22"/>
      <c r="N28" s="22"/>
      <c r="O28" s="22"/>
      <c r="P28" s="22"/>
      <c r="Q28" s="22"/>
      <c r="R28" s="22"/>
      <c r="S28" s="22"/>
      <c r="T28" s="22"/>
    </row>
    <row r="29" spans="2:21" ht="60" customHeight="1" thickTop="1" x14ac:dyDescent="0.35">
      <c r="B29" s="150" t="s">
        <v>48</v>
      </c>
      <c r="C29" s="151">
        <v>5</v>
      </c>
      <c r="G29" s="128" t="s">
        <v>655</v>
      </c>
      <c r="H29" s="129" t="s">
        <v>678</v>
      </c>
      <c r="I29" s="129" t="s">
        <v>679</v>
      </c>
      <c r="J29" s="129" t="s">
        <v>680</v>
      </c>
      <c r="K29" s="129"/>
      <c r="L29" s="129"/>
      <c r="M29" s="129"/>
      <c r="N29" s="129"/>
      <c r="O29" s="129"/>
      <c r="P29" s="129"/>
      <c r="Q29" s="129"/>
      <c r="R29" s="127" t="s">
        <v>1576</v>
      </c>
      <c r="S29" s="134"/>
      <c r="T29" s="131" t="s">
        <v>52</v>
      </c>
      <c r="U29" s="87" t="s">
        <v>671</v>
      </c>
    </row>
    <row r="30" spans="2:21" ht="60" customHeight="1" x14ac:dyDescent="0.35">
      <c r="B30" s="152" t="s">
        <v>49</v>
      </c>
      <c r="C30" s="153">
        <v>4</v>
      </c>
      <c r="G30" s="37" t="s">
        <v>658</v>
      </c>
      <c r="H30" s="30">
        <v>5</v>
      </c>
      <c r="I30" s="30">
        <v>5</v>
      </c>
      <c r="J30" s="30">
        <v>5</v>
      </c>
      <c r="K30" s="147"/>
      <c r="L30" s="147"/>
      <c r="M30" s="147"/>
      <c r="N30" s="147"/>
      <c r="O30" s="147"/>
      <c r="P30" s="147"/>
      <c r="Q30" s="147"/>
      <c r="R30" s="29">
        <v>5</v>
      </c>
      <c r="S30" s="135"/>
      <c r="T30" s="132"/>
      <c r="U30" s="130"/>
    </row>
    <row r="31" spans="2:21" ht="60" customHeight="1" x14ac:dyDescent="0.35">
      <c r="B31" s="154" t="s">
        <v>50</v>
      </c>
      <c r="C31" s="155">
        <v>3</v>
      </c>
      <c r="G31" s="37" t="s">
        <v>686</v>
      </c>
      <c r="H31" s="30" t="s">
        <v>687</v>
      </c>
      <c r="I31" s="30" t="s">
        <v>687</v>
      </c>
      <c r="J31" s="30" t="s">
        <v>687</v>
      </c>
      <c r="K31" s="147"/>
      <c r="L31" s="147"/>
      <c r="M31" s="147"/>
      <c r="N31" s="147"/>
      <c r="O31" s="147"/>
      <c r="P31" s="147"/>
      <c r="Q31" s="147"/>
      <c r="R31" s="29" t="s">
        <v>687</v>
      </c>
      <c r="S31" s="42"/>
      <c r="T31" s="132"/>
      <c r="U31" s="130"/>
    </row>
    <row r="32" spans="2:21" ht="60" customHeight="1" x14ac:dyDescent="0.35">
      <c r="B32" s="156" t="s">
        <v>51</v>
      </c>
      <c r="C32" s="157">
        <v>2</v>
      </c>
      <c r="G32" s="37" t="s">
        <v>656</v>
      </c>
      <c r="H32" s="30">
        <v>2</v>
      </c>
      <c r="I32" s="30">
        <v>4</v>
      </c>
      <c r="J32" s="30">
        <v>8</v>
      </c>
      <c r="K32" s="147"/>
      <c r="L32" s="147"/>
      <c r="M32" s="147"/>
      <c r="N32" s="147"/>
      <c r="O32" s="147"/>
      <c r="P32" s="147"/>
      <c r="Q32" s="147"/>
      <c r="R32" s="29">
        <v>6</v>
      </c>
      <c r="S32" s="135"/>
      <c r="T32" s="132"/>
      <c r="U32" s="130"/>
    </row>
    <row r="33" spans="2:21" ht="60" customHeight="1" x14ac:dyDescent="0.35">
      <c r="B33" s="158" t="s">
        <v>40</v>
      </c>
      <c r="C33" s="159">
        <v>1</v>
      </c>
      <c r="G33" s="37" t="s">
        <v>688</v>
      </c>
      <c r="H33" s="30" t="s">
        <v>687</v>
      </c>
      <c r="I33" s="30" t="s">
        <v>687</v>
      </c>
      <c r="J33" s="30" t="s">
        <v>687</v>
      </c>
      <c r="K33" s="147"/>
      <c r="L33" s="147"/>
      <c r="M33" s="147"/>
      <c r="N33" s="147"/>
      <c r="O33" s="147"/>
      <c r="P33" s="147"/>
      <c r="Q33" s="147"/>
      <c r="R33" s="29" t="s">
        <v>687</v>
      </c>
      <c r="S33" s="42"/>
      <c r="T33" s="140" t="s">
        <v>687</v>
      </c>
      <c r="U33" s="141"/>
    </row>
    <row r="34" spans="2:21" ht="60" customHeight="1" thickBot="1" x14ac:dyDescent="0.4">
      <c r="B34" s="160" t="s">
        <v>41</v>
      </c>
      <c r="C34" s="161">
        <v>0</v>
      </c>
      <c r="G34" s="68" t="s">
        <v>657</v>
      </c>
      <c r="H34" s="33">
        <f>H32*H30</f>
        <v>10</v>
      </c>
      <c r="I34" s="33">
        <f>I32*I30</f>
        <v>20</v>
      </c>
      <c r="J34" s="33">
        <f>J32*J30</f>
        <v>40</v>
      </c>
      <c r="K34" s="145"/>
      <c r="L34" s="145"/>
      <c r="M34" s="124"/>
      <c r="N34" s="124"/>
      <c r="O34" s="124"/>
      <c r="P34" s="124"/>
      <c r="Q34" s="124"/>
      <c r="R34" s="32">
        <f>R32*R30</f>
        <v>30</v>
      </c>
      <c r="S34" s="136"/>
      <c r="T34" s="133">
        <f>SUM(H34:S34)</f>
        <v>100</v>
      </c>
      <c r="U34" s="142" t="s">
        <v>672</v>
      </c>
    </row>
    <row r="35" spans="2:21" ht="60" customHeight="1" thickTop="1" thickBot="1" x14ac:dyDescent="0.4">
      <c r="G35" s="2" t="s">
        <v>660</v>
      </c>
    </row>
    <row r="36" spans="2:21" ht="60" customHeight="1" thickTop="1" x14ac:dyDescent="0.35">
      <c r="G36" s="128" t="s">
        <v>655</v>
      </c>
      <c r="H36" s="129" t="s">
        <v>674</v>
      </c>
      <c r="I36" s="129" t="s">
        <v>675</v>
      </c>
      <c r="J36" s="129" t="s">
        <v>676</v>
      </c>
      <c r="K36" s="129" t="s">
        <v>677</v>
      </c>
      <c r="L36" s="146"/>
      <c r="M36" s="146"/>
      <c r="N36" s="146"/>
      <c r="O36" s="146"/>
      <c r="P36" s="146"/>
      <c r="Q36" s="146"/>
      <c r="R36" s="127" t="s">
        <v>1576</v>
      </c>
      <c r="S36" s="123"/>
      <c r="T36" s="131" t="s">
        <v>52</v>
      </c>
      <c r="U36" s="87" t="s">
        <v>671</v>
      </c>
    </row>
    <row r="37" spans="2:21" ht="60" customHeight="1" x14ac:dyDescent="0.35">
      <c r="G37" s="37" t="s">
        <v>658</v>
      </c>
      <c r="H37" s="30">
        <v>5</v>
      </c>
      <c r="I37" s="30">
        <v>5</v>
      </c>
      <c r="J37" s="30">
        <v>5</v>
      </c>
      <c r="K37" s="30">
        <v>5</v>
      </c>
      <c r="L37" s="147"/>
      <c r="M37" s="147"/>
      <c r="N37" s="147"/>
      <c r="O37" s="147"/>
      <c r="P37" s="147"/>
      <c r="Q37" s="147"/>
      <c r="R37" s="29">
        <v>5</v>
      </c>
      <c r="S37" s="42"/>
      <c r="T37" s="132"/>
      <c r="U37" s="130"/>
    </row>
    <row r="38" spans="2:21" ht="60" customHeight="1" x14ac:dyDescent="0.35">
      <c r="G38" s="37" t="s">
        <v>686</v>
      </c>
      <c r="H38" s="30" t="s">
        <v>687</v>
      </c>
      <c r="I38" s="30" t="s">
        <v>687</v>
      </c>
      <c r="J38" s="30" t="s">
        <v>687</v>
      </c>
      <c r="K38" s="30" t="s">
        <v>687</v>
      </c>
      <c r="L38" s="147"/>
      <c r="M38" s="147"/>
      <c r="N38" s="147"/>
      <c r="O38" s="147"/>
      <c r="P38" s="147"/>
      <c r="Q38" s="147"/>
      <c r="R38" s="29" t="s">
        <v>687</v>
      </c>
      <c r="S38" s="42"/>
      <c r="T38" s="132"/>
      <c r="U38" s="130"/>
    </row>
    <row r="39" spans="2:21" ht="60" customHeight="1" x14ac:dyDescent="0.35">
      <c r="B39" s="126"/>
      <c r="G39" s="37" t="s">
        <v>656</v>
      </c>
      <c r="H39" s="30">
        <v>6</v>
      </c>
      <c r="I39" s="30">
        <v>4</v>
      </c>
      <c r="J39" s="30">
        <v>3</v>
      </c>
      <c r="K39" s="30">
        <v>3</v>
      </c>
      <c r="L39" s="147"/>
      <c r="M39" s="147"/>
      <c r="N39" s="147"/>
      <c r="O39" s="147"/>
      <c r="P39" s="147"/>
      <c r="Q39" s="147"/>
      <c r="R39" s="29">
        <v>4</v>
      </c>
      <c r="S39" s="42"/>
      <c r="T39" s="132"/>
      <c r="U39" s="130"/>
    </row>
    <row r="40" spans="2:21" ht="60" customHeight="1" x14ac:dyDescent="0.35">
      <c r="B40" s="126"/>
      <c r="G40" s="37" t="s">
        <v>688</v>
      </c>
      <c r="H40" s="30" t="s">
        <v>687</v>
      </c>
      <c r="I40" s="30" t="s">
        <v>687</v>
      </c>
      <c r="J40" s="30" t="s">
        <v>687</v>
      </c>
      <c r="K40" s="30" t="s">
        <v>687</v>
      </c>
      <c r="L40" s="147"/>
      <c r="M40" s="147"/>
      <c r="N40" s="147"/>
      <c r="O40" s="147"/>
      <c r="P40" s="147"/>
      <c r="Q40" s="147"/>
      <c r="R40" s="29" t="s">
        <v>687</v>
      </c>
      <c r="S40" s="42"/>
      <c r="T40" s="140" t="s">
        <v>687</v>
      </c>
      <c r="U40" s="141"/>
    </row>
    <row r="41" spans="2:21" ht="60" customHeight="1" thickBot="1" x14ac:dyDescent="0.4">
      <c r="B41" s="126"/>
      <c r="G41" s="68" t="s">
        <v>657</v>
      </c>
      <c r="H41" s="33">
        <f>H39*H37</f>
        <v>30</v>
      </c>
      <c r="I41" s="33">
        <f>I39*I37</f>
        <v>20</v>
      </c>
      <c r="J41" s="33">
        <f>J39*J37</f>
        <v>15</v>
      </c>
      <c r="K41" s="33">
        <f>K39*K37</f>
        <v>15</v>
      </c>
      <c r="L41" s="145"/>
      <c r="M41" s="145"/>
      <c r="N41" s="145"/>
      <c r="O41" s="145"/>
      <c r="P41" s="145"/>
      <c r="Q41" s="145"/>
      <c r="R41" s="32">
        <f>R39*R37</f>
        <v>20</v>
      </c>
      <c r="S41" s="43"/>
      <c r="T41" s="133">
        <f>SUM(H41:S41)</f>
        <v>100</v>
      </c>
      <c r="U41" s="142" t="s">
        <v>672</v>
      </c>
    </row>
    <row r="42" spans="2:21" ht="15" thickTop="1" x14ac:dyDescent="0.35">
      <c r="B42" s="126"/>
    </row>
    <row r="43" spans="2:21" ht="15" thickBot="1" x14ac:dyDescent="0.4">
      <c r="B43" s="126"/>
      <c r="G43" s="76" t="s">
        <v>15</v>
      </c>
    </row>
    <row r="44" spans="2:21" ht="60" customHeight="1" thickTop="1" x14ac:dyDescent="0.35">
      <c r="B44" s="126"/>
      <c r="G44" s="128" t="s">
        <v>134</v>
      </c>
      <c r="H44" s="129" t="s">
        <v>673</v>
      </c>
      <c r="I44" s="146"/>
      <c r="J44" s="146"/>
      <c r="K44" s="146"/>
      <c r="L44" s="146"/>
      <c r="M44" s="146"/>
      <c r="N44" s="146"/>
      <c r="O44" s="146"/>
      <c r="P44" s="146"/>
      <c r="Q44" s="146"/>
      <c r="R44" s="127" t="s">
        <v>1576</v>
      </c>
      <c r="S44" s="123"/>
      <c r="T44" s="131" t="s">
        <v>52</v>
      </c>
      <c r="U44" s="87" t="s">
        <v>671</v>
      </c>
    </row>
    <row r="45" spans="2:21" ht="60" customHeight="1" x14ac:dyDescent="0.35">
      <c r="G45" s="37" t="s">
        <v>658</v>
      </c>
      <c r="H45" s="30">
        <v>5</v>
      </c>
      <c r="I45" s="147"/>
      <c r="J45" s="147"/>
      <c r="K45" s="147"/>
      <c r="L45" s="147"/>
      <c r="M45" s="147"/>
      <c r="N45" s="147"/>
      <c r="O45" s="147"/>
      <c r="P45" s="147"/>
      <c r="Q45" s="147"/>
      <c r="R45" s="29">
        <v>5</v>
      </c>
      <c r="S45" s="42"/>
      <c r="T45" s="132"/>
      <c r="U45" s="130"/>
    </row>
    <row r="46" spans="2:21" ht="60" customHeight="1" x14ac:dyDescent="0.35">
      <c r="G46" s="37" t="s">
        <v>686</v>
      </c>
      <c r="H46" s="30" t="s">
        <v>687</v>
      </c>
      <c r="I46" s="147"/>
      <c r="J46" s="147"/>
      <c r="K46" s="147"/>
      <c r="L46" s="147"/>
      <c r="M46" s="147"/>
      <c r="N46" s="147"/>
      <c r="O46" s="147"/>
      <c r="P46" s="147"/>
      <c r="Q46" s="147"/>
      <c r="R46" s="29" t="s">
        <v>687</v>
      </c>
      <c r="S46" s="42"/>
      <c r="T46" s="132"/>
      <c r="U46" s="130"/>
    </row>
    <row r="47" spans="2:21" ht="60" customHeight="1" x14ac:dyDescent="0.35">
      <c r="G47" s="37" t="s">
        <v>656</v>
      </c>
      <c r="H47" s="30">
        <v>16</v>
      </c>
      <c r="I47" s="147"/>
      <c r="J47" s="147"/>
      <c r="K47" s="147"/>
      <c r="L47" s="147"/>
      <c r="M47" s="147"/>
      <c r="N47" s="147"/>
      <c r="O47" s="147"/>
      <c r="P47" s="147"/>
      <c r="Q47" s="147"/>
      <c r="R47" s="29">
        <v>4</v>
      </c>
      <c r="S47" s="42"/>
      <c r="T47" s="132"/>
      <c r="U47" s="130"/>
    </row>
    <row r="48" spans="2:21" ht="60" customHeight="1" x14ac:dyDescent="0.35">
      <c r="G48" s="37" t="s">
        <v>688</v>
      </c>
      <c r="H48" s="30" t="s">
        <v>687</v>
      </c>
      <c r="I48" s="147"/>
      <c r="J48" s="147"/>
      <c r="K48" s="147"/>
      <c r="L48" s="147"/>
      <c r="M48" s="147"/>
      <c r="N48" s="147"/>
      <c r="O48" s="147"/>
      <c r="P48" s="147"/>
      <c r="Q48" s="147"/>
      <c r="R48" s="29" t="s">
        <v>687</v>
      </c>
      <c r="S48" s="42"/>
      <c r="T48" s="140" t="s">
        <v>687</v>
      </c>
      <c r="U48" s="141"/>
    </row>
    <row r="49" spans="7:21" ht="60" customHeight="1" thickBot="1" x14ac:dyDescent="0.4">
      <c r="G49" s="68" t="s">
        <v>657</v>
      </c>
      <c r="H49" s="33">
        <f>H47*H45</f>
        <v>80</v>
      </c>
      <c r="I49" s="145"/>
      <c r="J49" s="145"/>
      <c r="K49" s="145"/>
      <c r="L49" s="145"/>
      <c r="M49" s="145"/>
      <c r="N49" s="145"/>
      <c r="O49" s="145"/>
      <c r="P49" s="145"/>
      <c r="Q49" s="145"/>
      <c r="R49" s="32">
        <f>R47*R45</f>
        <v>20</v>
      </c>
      <c r="S49" s="43"/>
      <c r="T49" s="133">
        <f>SUM(H49:S49)</f>
        <v>100</v>
      </c>
      <c r="U49" s="142" t="s">
        <v>672</v>
      </c>
    </row>
    <row r="50" spans="7:21" ht="15" thickTop="1" x14ac:dyDescent="0.35"/>
    <row r="51" spans="7:21" ht="15" thickBot="1" x14ac:dyDescent="0.4">
      <c r="G51" s="76" t="s">
        <v>689</v>
      </c>
    </row>
    <row r="52" spans="7:21" ht="60" customHeight="1" thickTop="1" x14ac:dyDescent="0.35">
      <c r="G52" s="128" t="s">
        <v>134</v>
      </c>
      <c r="H52" s="129" t="s">
        <v>694</v>
      </c>
      <c r="I52" s="146"/>
      <c r="J52" s="146"/>
      <c r="K52" s="146"/>
      <c r="L52" s="146"/>
      <c r="M52" s="146"/>
      <c r="N52" s="146"/>
      <c r="O52" s="146"/>
      <c r="P52" s="146"/>
      <c r="Q52" s="146"/>
      <c r="R52" s="127" t="s">
        <v>1576</v>
      </c>
      <c r="S52" s="123"/>
      <c r="T52" s="131" t="s">
        <v>52</v>
      </c>
      <c r="U52" s="87" t="s">
        <v>671</v>
      </c>
    </row>
    <row r="53" spans="7:21" ht="60" customHeight="1" x14ac:dyDescent="0.35">
      <c r="G53" s="37" t="s">
        <v>658</v>
      </c>
      <c r="H53" s="30">
        <v>5</v>
      </c>
      <c r="I53" s="147"/>
      <c r="J53" s="147"/>
      <c r="K53" s="147"/>
      <c r="L53" s="147"/>
      <c r="M53" s="147"/>
      <c r="N53" s="147"/>
      <c r="O53" s="147"/>
      <c r="P53" s="147"/>
      <c r="Q53" s="147"/>
      <c r="R53" s="29">
        <v>5</v>
      </c>
      <c r="S53" s="42"/>
      <c r="T53" s="132"/>
      <c r="U53" s="130"/>
    </row>
    <row r="54" spans="7:21" ht="60" customHeight="1" x14ac:dyDescent="0.35">
      <c r="G54" s="37" t="s">
        <v>686</v>
      </c>
      <c r="H54" s="30" t="s">
        <v>687</v>
      </c>
      <c r="I54" s="147"/>
      <c r="J54" s="147"/>
      <c r="K54" s="147"/>
      <c r="L54" s="147"/>
      <c r="M54" s="147"/>
      <c r="N54" s="147"/>
      <c r="O54" s="147"/>
      <c r="P54" s="147"/>
      <c r="Q54" s="147"/>
      <c r="R54" s="29" t="s">
        <v>687</v>
      </c>
      <c r="S54" s="42"/>
      <c r="T54" s="132"/>
      <c r="U54" s="130"/>
    </row>
    <row r="55" spans="7:21" ht="60" customHeight="1" x14ac:dyDescent="0.35">
      <c r="G55" s="37" t="s">
        <v>656</v>
      </c>
      <c r="H55" s="30">
        <v>12</v>
      </c>
      <c r="I55" s="147"/>
      <c r="J55" s="147"/>
      <c r="K55" s="147"/>
      <c r="L55" s="147"/>
      <c r="M55" s="147"/>
      <c r="N55" s="147"/>
      <c r="O55" s="147"/>
      <c r="P55" s="147"/>
      <c r="Q55" s="147"/>
      <c r="R55" s="29">
        <v>8</v>
      </c>
      <c r="S55" s="42"/>
      <c r="T55" s="132"/>
      <c r="U55" s="130"/>
    </row>
    <row r="56" spans="7:21" ht="60" customHeight="1" x14ac:dyDescent="0.35">
      <c r="G56" s="37" t="s">
        <v>688</v>
      </c>
      <c r="H56" s="30" t="s">
        <v>687</v>
      </c>
      <c r="I56" s="147"/>
      <c r="J56" s="147"/>
      <c r="K56" s="147"/>
      <c r="L56" s="147"/>
      <c r="M56" s="147"/>
      <c r="N56" s="147"/>
      <c r="O56" s="147"/>
      <c r="P56" s="147"/>
      <c r="Q56" s="147"/>
      <c r="R56" s="29" t="s">
        <v>687</v>
      </c>
      <c r="S56" s="42"/>
      <c r="T56" s="140" t="s">
        <v>687</v>
      </c>
      <c r="U56" s="141"/>
    </row>
    <row r="57" spans="7:21" ht="60" customHeight="1" thickBot="1" x14ac:dyDescent="0.4">
      <c r="G57" s="68" t="s">
        <v>657</v>
      </c>
      <c r="H57" s="33">
        <f>H55*H53</f>
        <v>60</v>
      </c>
      <c r="I57" s="145"/>
      <c r="J57" s="145"/>
      <c r="K57" s="145"/>
      <c r="L57" s="145"/>
      <c r="M57" s="145"/>
      <c r="N57" s="145"/>
      <c r="O57" s="145"/>
      <c r="P57" s="145"/>
      <c r="Q57" s="145"/>
      <c r="R57" s="32">
        <f>R55*R53</f>
        <v>40</v>
      </c>
      <c r="S57" s="43"/>
      <c r="T57" s="133">
        <f>SUM(H57:S57)</f>
        <v>100</v>
      </c>
      <c r="U57" s="142" t="s">
        <v>672</v>
      </c>
    </row>
    <row r="58" spans="7:21" ht="15" thickTop="1" x14ac:dyDescent="0.35"/>
    <row r="59" spans="7:21" ht="15" thickBot="1" x14ac:dyDescent="0.4"/>
    <row r="60" spans="7:21" ht="60" customHeight="1" thickTop="1" x14ac:dyDescent="0.35">
      <c r="G60" s="128" t="s">
        <v>134</v>
      </c>
      <c r="H60" s="129" t="s">
        <v>695</v>
      </c>
      <c r="I60" s="146"/>
      <c r="J60" s="146"/>
      <c r="K60" s="146"/>
      <c r="L60" s="146"/>
      <c r="M60" s="146"/>
      <c r="N60" s="146"/>
      <c r="O60" s="146"/>
      <c r="P60" s="146"/>
      <c r="Q60" s="146"/>
      <c r="R60" s="127" t="s">
        <v>1576</v>
      </c>
      <c r="S60" s="123"/>
      <c r="T60" s="131" t="s">
        <v>52</v>
      </c>
      <c r="U60" s="87" t="s">
        <v>671</v>
      </c>
    </row>
    <row r="61" spans="7:21" ht="60" customHeight="1" x14ac:dyDescent="0.35">
      <c r="G61" s="37" t="s">
        <v>658</v>
      </c>
      <c r="H61" s="30">
        <v>5</v>
      </c>
      <c r="I61" s="147"/>
      <c r="J61" s="147"/>
      <c r="K61" s="147"/>
      <c r="L61" s="147"/>
      <c r="M61" s="147"/>
      <c r="N61" s="147"/>
      <c r="O61" s="147"/>
      <c r="P61" s="147"/>
      <c r="Q61" s="147"/>
      <c r="R61" s="29">
        <v>5</v>
      </c>
      <c r="S61" s="42"/>
      <c r="T61" s="132"/>
      <c r="U61" s="130"/>
    </row>
    <row r="62" spans="7:21" ht="60" customHeight="1" x14ac:dyDescent="0.35">
      <c r="G62" s="37" t="s">
        <v>686</v>
      </c>
      <c r="H62" s="30" t="s">
        <v>687</v>
      </c>
      <c r="I62" s="147"/>
      <c r="J62" s="147"/>
      <c r="K62" s="147"/>
      <c r="L62" s="147"/>
      <c r="M62" s="147"/>
      <c r="N62" s="147"/>
      <c r="O62" s="147"/>
      <c r="P62" s="147"/>
      <c r="Q62" s="147"/>
      <c r="R62" s="29" t="s">
        <v>687</v>
      </c>
      <c r="S62" s="42"/>
      <c r="T62" s="132"/>
      <c r="U62" s="130"/>
    </row>
    <row r="63" spans="7:21" ht="60" customHeight="1" x14ac:dyDescent="0.35">
      <c r="G63" s="37" t="s">
        <v>656</v>
      </c>
      <c r="H63" s="30">
        <v>12</v>
      </c>
      <c r="I63" s="147"/>
      <c r="J63" s="147"/>
      <c r="K63" s="147"/>
      <c r="L63" s="147"/>
      <c r="M63" s="147"/>
      <c r="N63" s="147"/>
      <c r="O63" s="147"/>
      <c r="P63" s="147"/>
      <c r="Q63" s="147"/>
      <c r="R63" s="29">
        <v>8</v>
      </c>
      <c r="S63" s="42"/>
      <c r="T63" s="132"/>
      <c r="U63" s="130"/>
    </row>
    <row r="64" spans="7:21" ht="60" customHeight="1" x14ac:dyDescent="0.35">
      <c r="G64" s="37" t="s">
        <v>688</v>
      </c>
      <c r="H64" s="30" t="s">
        <v>687</v>
      </c>
      <c r="I64" s="147"/>
      <c r="J64" s="147"/>
      <c r="K64" s="147"/>
      <c r="L64" s="147"/>
      <c r="M64" s="147"/>
      <c r="N64" s="147"/>
      <c r="O64" s="147"/>
      <c r="P64" s="147"/>
      <c r="Q64" s="147"/>
      <c r="R64" s="29" t="s">
        <v>687</v>
      </c>
      <c r="S64" s="42"/>
      <c r="T64" s="140" t="s">
        <v>687</v>
      </c>
      <c r="U64" s="141"/>
    </row>
    <row r="65" spans="7:21" ht="60" customHeight="1" thickBot="1" x14ac:dyDescent="0.4">
      <c r="G65" s="68" t="s">
        <v>657</v>
      </c>
      <c r="H65" s="33">
        <f>H63*H61</f>
        <v>60</v>
      </c>
      <c r="I65" s="145"/>
      <c r="J65" s="145"/>
      <c r="K65" s="145"/>
      <c r="L65" s="145"/>
      <c r="M65" s="145"/>
      <c r="N65" s="145"/>
      <c r="O65" s="145"/>
      <c r="P65" s="145"/>
      <c r="Q65" s="145"/>
      <c r="R65" s="32">
        <f>R63*R61</f>
        <v>40</v>
      </c>
      <c r="S65" s="43"/>
      <c r="T65" s="133">
        <f>SUM(H65:S65)</f>
        <v>100</v>
      </c>
      <c r="U65" s="142" t="s">
        <v>672</v>
      </c>
    </row>
    <row r="66" spans="7:21" ht="15" thickTop="1" x14ac:dyDescent="0.35"/>
    <row r="67" spans="7:21" ht="15" thickBot="1" x14ac:dyDescent="0.4"/>
    <row r="68" spans="7:21" ht="60" customHeight="1" thickTop="1" x14ac:dyDescent="0.35">
      <c r="G68" s="128" t="s">
        <v>134</v>
      </c>
      <c r="H68" s="129" t="s">
        <v>696</v>
      </c>
      <c r="I68" s="146"/>
      <c r="J68" s="146"/>
      <c r="K68" s="146"/>
      <c r="L68" s="146"/>
      <c r="M68" s="146"/>
      <c r="N68" s="146"/>
      <c r="O68" s="146"/>
      <c r="P68" s="146"/>
      <c r="Q68" s="146"/>
      <c r="R68" s="127" t="s">
        <v>1576</v>
      </c>
      <c r="S68" s="123"/>
      <c r="T68" s="131" t="s">
        <v>690</v>
      </c>
      <c r="U68" s="87" t="s">
        <v>671</v>
      </c>
    </row>
    <row r="69" spans="7:21" ht="60" customHeight="1" x14ac:dyDescent="0.35">
      <c r="G69" s="37" t="s">
        <v>658</v>
      </c>
      <c r="H69" s="30">
        <v>5</v>
      </c>
      <c r="I69" s="147"/>
      <c r="J69" s="147"/>
      <c r="K69" s="147"/>
      <c r="L69" s="147"/>
      <c r="M69" s="147"/>
      <c r="N69" s="147"/>
      <c r="O69" s="147"/>
      <c r="P69" s="147"/>
      <c r="Q69" s="147"/>
      <c r="R69" s="29">
        <v>5</v>
      </c>
      <c r="S69" s="42"/>
      <c r="T69" s="132"/>
      <c r="U69" s="130"/>
    </row>
    <row r="70" spans="7:21" ht="60" customHeight="1" x14ac:dyDescent="0.35">
      <c r="G70" s="37" t="s">
        <v>686</v>
      </c>
      <c r="H70" s="30" t="s">
        <v>687</v>
      </c>
      <c r="I70" s="147"/>
      <c r="J70" s="147"/>
      <c r="K70" s="147"/>
      <c r="L70" s="147"/>
      <c r="M70" s="147"/>
      <c r="N70" s="147"/>
      <c r="O70" s="147"/>
      <c r="P70" s="147"/>
      <c r="Q70" s="147"/>
      <c r="R70" s="29" t="s">
        <v>687</v>
      </c>
      <c r="S70" s="42"/>
      <c r="T70" s="132"/>
      <c r="U70" s="130"/>
    </row>
    <row r="71" spans="7:21" ht="60" customHeight="1" x14ac:dyDescent="0.35">
      <c r="G71" s="37" t="s">
        <v>656</v>
      </c>
      <c r="H71" s="30">
        <v>12</v>
      </c>
      <c r="I71" s="147"/>
      <c r="J71" s="147"/>
      <c r="K71" s="147"/>
      <c r="L71" s="147"/>
      <c r="M71" s="147"/>
      <c r="N71" s="147"/>
      <c r="O71" s="147"/>
      <c r="P71" s="147"/>
      <c r="Q71" s="147"/>
      <c r="R71" s="29">
        <v>8</v>
      </c>
      <c r="S71" s="42"/>
      <c r="T71" s="132"/>
      <c r="U71" s="130"/>
    </row>
    <row r="72" spans="7:21" ht="60" customHeight="1" x14ac:dyDescent="0.35">
      <c r="G72" s="37" t="s">
        <v>688</v>
      </c>
      <c r="H72" s="30" t="s">
        <v>687</v>
      </c>
      <c r="I72" s="147"/>
      <c r="J72" s="147"/>
      <c r="K72" s="147"/>
      <c r="L72" s="147"/>
      <c r="M72" s="147"/>
      <c r="N72" s="147"/>
      <c r="O72" s="147"/>
      <c r="P72" s="147"/>
      <c r="Q72" s="147"/>
      <c r="R72" s="29" t="s">
        <v>687</v>
      </c>
      <c r="S72" s="42"/>
      <c r="T72" s="140" t="s">
        <v>687</v>
      </c>
      <c r="U72" s="141"/>
    </row>
    <row r="73" spans="7:21" ht="60" customHeight="1" thickBot="1" x14ac:dyDescent="0.4">
      <c r="G73" s="68" t="s">
        <v>657</v>
      </c>
      <c r="H73" s="33">
        <f>H71*H69</f>
        <v>60</v>
      </c>
      <c r="I73" s="145"/>
      <c r="J73" s="145"/>
      <c r="K73" s="145"/>
      <c r="L73" s="145"/>
      <c r="M73" s="145"/>
      <c r="N73" s="145"/>
      <c r="O73" s="145"/>
      <c r="P73" s="145"/>
      <c r="Q73" s="145"/>
      <c r="R73" s="32">
        <f>R71*R69</f>
        <v>40</v>
      </c>
      <c r="S73" s="43"/>
      <c r="T73" s="133">
        <f>SUM(H73:S73)</f>
        <v>100</v>
      </c>
      <c r="U73" s="142" t="s">
        <v>672</v>
      </c>
    </row>
    <row r="74" spans="7:21" ht="15" thickTop="1" x14ac:dyDescent="0.35"/>
    <row r="75" spans="7:21" ht="15" thickBot="1" x14ac:dyDescent="0.4">
      <c r="G75" s="76" t="s">
        <v>150</v>
      </c>
    </row>
    <row r="76" spans="7:21" ht="60" customHeight="1" thickTop="1" x14ac:dyDescent="0.35">
      <c r="G76" s="128" t="s">
        <v>134</v>
      </c>
      <c r="H76" s="129" t="s">
        <v>697</v>
      </c>
      <c r="I76" s="146"/>
      <c r="J76" s="146"/>
      <c r="K76" s="146"/>
      <c r="L76" s="146"/>
      <c r="M76" s="146"/>
      <c r="N76" s="146"/>
      <c r="O76" s="146"/>
      <c r="P76" s="146"/>
      <c r="Q76" s="146"/>
      <c r="R76" s="127" t="s">
        <v>1576</v>
      </c>
      <c r="S76" s="123"/>
      <c r="T76" s="131" t="s">
        <v>690</v>
      </c>
      <c r="U76" s="87" t="s">
        <v>671</v>
      </c>
    </row>
    <row r="77" spans="7:21" ht="60" customHeight="1" x14ac:dyDescent="0.35">
      <c r="G77" s="37" t="s">
        <v>658</v>
      </c>
      <c r="H77" s="30">
        <v>5</v>
      </c>
      <c r="I77" s="147"/>
      <c r="J77" s="147"/>
      <c r="K77" s="147"/>
      <c r="L77" s="147"/>
      <c r="M77" s="147"/>
      <c r="N77" s="147"/>
      <c r="O77" s="147"/>
      <c r="P77" s="147"/>
      <c r="Q77" s="147"/>
      <c r="R77" s="29">
        <v>5</v>
      </c>
      <c r="S77" s="42"/>
      <c r="T77" s="132"/>
      <c r="U77" s="130"/>
    </row>
    <row r="78" spans="7:21" ht="60" customHeight="1" x14ac:dyDescent="0.35">
      <c r="G78" s="37" t="s">
        <v>686</v>
      </c>
      <c r="H78" s="30" t="s">
        <v>687</v>
      </c>
      <c r="I78" s="147"/>
      <c r="J78" s="147"/>
      <c r="K78" s="147"/>
      <c r="L78" s="147"/>
      <c r="M78" s="147"/>
      <c r="N78" s="147"/>
      <c r="O78" s="147"/>
      <c r="P78" s="147"/>
      <c r="Q78" s="147"/>
      <c r="R78" s="29" t="s">
        <v>687</v>
      </c>
      <c r="S78" s="42"/>
      <c r="T78" s="132"/>
      <c r="U78" s="130"/>
    </row>
    <row r="79" spans="7:21" ht="60" customHeight="1" x14ac:dyDescent="0.35">
      <c r="G79" s="37" t="s">
        <v>656</v>
      </c>
      <c r="H79" s="30">
        <v>16</v>
      </c>
      <c r="I79" s="147"/>
      <c r="J79" s="147"/>
      <c r="K79" s="147"/>
      <c r="L79" s="147"/>
      <c r="M79" s="147"/>
      <c r="N79" s="147"/>
      <c r="O79" s="147"/>
      <c r="P79" s="147"/>
      <c r="Q79" s="147"/>
      <c r="R79" s="29">
        <v>4</v>
      </c>
      <c r="S79" s="42"/>
      <c r="T79" s="132"/>
      <c r="U79" s="130"/>
    </row>
    <row r="80" spans="7:21" ht="60" customHeight="1" x14ac:dyDescent="0.35">
      <c r="G80" s="37" t="s">
        <v>688</v>
      </c>
      <c r="H80" s="30" t="s">
        <v>687</v>
      </c>
      <c r="I80" s="147"/>
      <c r="J80" s="147"/>
      <c r="K80" s="147"/>
      <c r="L80" s="147"/>
      <c r="M80" s="147"/>
      <c r="N80" s="147"/>
      <c r="O80" s="147"/>
      <c r="P80" s="147"/>
      <c r="Q80" s="147"/>
      <c r="R80" s="29" t="s">
        <v>687</v>
      </c>
      <c r="S80" s="42"/>
      <c r="T80" s="140" t="s">
        <v>687</v>
      </c>
      <c r="U80" s="141"/>
    </row>
    <row r="81" spans="7:21" ht="60" customHeight="1" thickBot="1" x14ac:dyDescent="0.4">
      <c r="G81" s="68" t="s">
        <v>657</v>
      </c>
      <c r="H81" s="33">
        <f>H79*H77</f>
        <v>80</v>
      </c>
      <c r="I81" s="145"/>
      <c r="J81" s="145"/>
      <c r="K81" s="145"/>
      <c r="L81" s="145"/>
      <c r="M81" s="145"/>
      <c r="N81" s="145"/>
      <c r="O81" s="145"/>
      <c r="P81" s="145"/>
      <c r="Q81" s="145"/>
      <c r="R81" s="32">
        <f>R79*R77</f>
        <v>20</v>
      </c>
      <c r="S81" s="43"/>
      <c r="T81" s="133">
        <f>SUM(H81:S81)</f>
        <v>100</v>
      </c>
      <c r="U81" s="142" t="s">
        <v>672</v>
      </c>
    </row>
    <row r="82" spans="7:21" ht="15" thickTop="1" x14ac:dyDescent="0.35"/>
    <row r="84" spans="7:21" ht="15" thickBot="1" x14ac:dyDescent="0.4">
      <c r="G84" s="76" t="s">
        <v>1411</v>
      </c>
    </row>
    <row r="85" spans="7:21" ht="60" customHeight="1" thickTop="1" x14ac:dyDescent="0.35">
      <c r="G85" s="128" t="s">
        <v>134</v>
      </c>
      <c r="H85" s="129" t="s">
        <v>698</v>
      </c>
      <c r="I85" s="146"/>
      <c r="J85" s="146"/>
      <c r="K85" s="146"/>
      <c r="L85" s="146"/>
      <c r="M85" s="146"/>
      <c r="N85" s="146"/>
      <c r="O85" s="146"/>
      <c r="P85" s="146"/>
      <c r="Q85" s="146"/>
      <c r="R85" s="127" t="s">
        <v>1576</v>
      </c>
      <c r="S85" s="123"/>
      <c r="T85" s="131" t="s">
        <v>690</v>
      </c>
      <c r="U85" s="87" t="s">
        <v>671</v>
      </c>
    </row>
    <row r="86" spans="7:21" ht="60" customHeight="1" x14ac:dyDescent="0.35">
      <c r="G86" s="37" t="s">
        <v>658</v>
      </c>
      <c r="H86" s="30">
        <v>5</v>
      </c>
      <c r="I86" s="147"/>
      <c r="J86" s="147"/>
      <c r="K86" s="147"/>
      <c r="L86" s="147"/>
      <c r="M86" s="147"/>
      <c r="N86" s="147"/>
      <c r="O86" s="147"/>
      <c r="P86" s="147"/>
      <c r="Q86" s="147"/>
      <c r="R86" s="29">
        <v>5</v>
      </c>
      <c r="S86" s="42"/>
      <c r="T86" s="132"/>
      <c r="U86" s="130"/>
    </row>
    <row r="87" spans="7:21" ht="60" customHeight="1" x14ac:dyDescent="0.35">
      <c r="G87" s="37" t="s">
        <v>686</v>
      </c>
      <c r="H87" s="30" t="s">
        <v>687</v>
      </c>
      <c r="I87" s="147"/>
      <c r="J87" s="147"/>
      <c r="K87" s="147"/>
      <c r="L87" s="147"/>
      <c r="M87" s="147"/>
      <c r="N87" s="147"/>
      <c r="O87" s="147"/>
      <c r="P87" s="147"/>
      <c r="Q87" s="147"/>
      <c r="R87" s="29" t="s">
        <v>687</v>
      </c>
      <c r="S87" s="42"/>
      <c r="T87" s="132"/>
      <c r="U87" s="130"/>
    </row>
    <row r="88" spans="7:21" ht="60" customHeight="1" x14ac:dyDescent="0.35">
      <c r="G88" s="37" t="s">
        <v>656</v>
      </c>
      <c r="H88" s="30">
        <v>12</v>
      </c>
      <c r="I88" s="147"/>
      <c r="J88" s="147"/>
      <c r="K88" s="147"/>
      <c r="L88" s="147"/>
      <c r="M88" s="147"/>
      <c r="N88" s="147"/>
      <c r="O88" s="147"/>
      <c r="P88" s="147"/>
      <c r="Q88" s="147"/>
      <c r="R88" s="29">
        <v>8</v>
      </c>
      <c r="S88" s="42"/>
      <c r="T88" s="132"/>
      <c r="U88" s="130"/>
    </row>
    <row r="89" spans="7:21" ht="60" customHeight="1" x14ac:dyDescent="0.35">
      <c r="G89" s="37" t="s">
        <v>688</v>
      </c>
      <c r="H89" s="30" t="s">
        <v>687</v>
      </c>
      <c r="I89" s="147"/>
      <c r="J89" s="147"/>
      <c r="K89" s="147"/>
      <c r="L89" s="147"/>
      <c r="M89" s="147"/>
      <c r="N89" s="147"/>
      <c r="O89" s="147"/>
      <c r="P89" s="147"/>
      <c r="Q89" s="147"/>
      <c r="R89" s="29" t="s">
        <v>687</v>
      </c>
      <c r="S89" s="42"/>
      <c r="T89" s="140" t="s">
        <v>687</v>
      </c>
      <c r="U89" s="141"/>
    </row>
    <row r="90" spans="7:21" ht="60" customHeight="1" thickBot="1" x14ac:dyDescent="0.4">
      <c r="G90" s="68" t="s">
        <v>657</v>
      </c>
      <c r="H90" s="33">
        <f>H88*H86</f>
        <v>60</v>
      </c>
      <c r="I90" s="145"/>
      <c r="J90" s="145"/>
      <c r="K90" s="145"/>
      <c r="L90" s="145"/>
      <c r="M90" s="145"/>
      <c r="N90" s="145"/>
      <c r="O90" s="145"/>
      <c r="P90" s="145"/>
      <c r="Q90" s="145"/>
      <c r="R90" s="32">
        <f>R88*R86</f>
        <v>40</v>
      </c>
      <c r="S90" s="43"/>
      <c r="T90" s="133">
        <f>SUM(H90:S90)</f>
        <v>100</v>
      </c>
      <c r="U90" s="142" t="s">
        <v>672</v>
      </c>
    </row>
    <row r="91" spans="7:21" ht="15" thickTop="1" x14ac:dyDescent="0.35"/>
    <row r="93" spans="7:21" ht="15" thickBot="1" x14ac:dyDescent="0.4"/>
    <row r="94" spans="7:21" ht="60" customHeight="1" thickTop="1" x14ac:dyDescent="0.35">
      <c r="G94" s="128" t="s">
        <v>134</v>
      </c>
      <c r="H94" s="129" t="s">
        <v>699</v>
      </c>
      <c r="I94" s="146"/>
      <c r="J94" s="146"/>
      <c r="K94" s="146"/>
      <c r="L94" s="146"/>
      <c r="M94" s="146"/>
      <c r="N94" s="146"/>
      <c r="O94" s="146"/>
      <c r="P94" s="146"/>
      <c r="Q94" s="146"/>
      <c r="R94" s="127" t="s">
        <v>1576</v>
      </c>
      <c r="S94" s="123"/>
      <c r="T94" s="131" t="s">
        <v>690</v>
      </c>
      <c r="U94" s="87" t="s">
        <v>671</v>
      </c>
    </row>
    <row r="95" spans="7:21" ht="60" customHeight="1" x14ac:dyDescent="0.35">
      <c r="G95" s="37" t="s">
        <v>658</v>
      </c>
      <c r="H95" s="30">
        <v>5</v>
      </c>
      <c r="I95" s="147"/>
      <c r="J95" s="147"/>
      <c r="K95" s="147"/>
      <c r="L95" s="147"/>
      <c r="M95" s="147"/>
      <c r="N95" s="147"/>
      <c r="O95" s="147"/>
      <c r="P95" s="147"/>
      <c r="Q95" s="147"/>
      <c r="R95" s="29">
        <v>5</v>
      </c>
      <c r="S95" s="42"/>
      <c r="T95" s="132"/>
      <c r="U95" s="130"/>
    </row>
    <row r="96" spans="7:21" ht="60" customHeight="1" x14ac:dyDescent="0.35">
      <c r="G96" s="37" t="s">
        <v>686</v>
      </c>
      <c r="H96" s="30" t="s">
        <v>687</v>
      </c>
      <c r="I96" s="147"/>
      <c r="J96" s="147"/>
      <c r="K96" s="147"/>
      <c r="L96" s="147"/>
      <c r="M96" s="147"/>
      <c r="N96" s="147"/>
      <c r="O96" s="147"/>
      <c r="P96" s="147"/>
      <c r="Q96" s="147"/>
      <c r="R96" s="29" t="s">
        <v>687</v>
      </c>
      <c r="S96" s="42"/>
      <c r="T96" s="132"/>
      <c r="U96" s="130"/>
    </row>
    <row r="97" spans="7:21" ht="60" customHeight="1" x14ac:dyDescent="0.35">
      <c r="G97" s="37" t="s">
        <v>656</v>
      </c>
      <c r="H97" s="30">
        <v>14</v>
      </c>
      <c r="I97" s="147"/>
      <c r="J97" s="147"/>
      <c r="K97" s="147"/>
      <c r="L97" s="147"/>
      <c r="M97" s="147"/>
      <c r="N97" s="147"/>
      <c r="O97" s="147"/>
      <c r="P97" s="147"/>
      <c r="Q97" s="147"/>
      <c r="R97" s="29">
        <v>6</v>
      </c>
      <c r="S97" s="42"/>
      <c r="T97" s="132"/>
      <c r="U97" s="130"/>
    </row>
    <row r="98" spans="7:21" ht="60" customHeight="1" x14ac:dyDescent="0.35">
      <c r="G98" s="37" t="s">
        <v>688</v>
      </c>
      <c r="H98" s="30" t="s">
        <v>687</v>
      </c>
      <c r="I98" s="147"/>
      <c r="J98" s="147"/>
      <c r="K98" s="147"/>
      <c r="L98" s="147"/>
      <c r="M98" s="147"/>
      <c r="N98" s="147"/>
      <c r="O98" s="147"/>
      <c r="P98" s="147"/>
      <c r="Q98" s="147"/>
      <c r="R98" s="29" t="s">
        <v>687</v>
      </c>
      <c r="S98" s="42"/>
      <c r="T98" s="140" t="s">
        <v>687</v>
      </c>
      <c r="U98" s="141"/>
    </row>
    <row r="99" spans="7:21" ht="60" customHeight="1" thickBot="1" x14ac:dyDescent="0.4">
      <c r="G99" s="68" t="s">
        <v>657</v>
      </c>
      <c r="H99" s="33">
        <f>H97*H95</f>
        <v>70</v>
      </c>
      <c r="I99" s="145"/>
      <c r="J99" s="145"/>
      <c r="K99" s="145"/>
      <c r="L99" s="145"/>
      <c r="M99" s="145"/>
      <c r="N99" s="145"/>
      <c r="O99" s="145"/>
      <c r="P99" s="145"/>
      <c r="Q99" s="145"/>
      <c r="R99" s="32">
        <f>R97*R95</f>
        <v>30</v>
      </c>
      <c r="S99" s="43"/>
      <c r="T99" s="133">
        <f>SUM(H99:S99)</f>
        <v>100</v>
      </c>
      <c r="U99" s="142" t="s">
        <v>672</v>
      </c>
    </row>
    <row r="100" spans="7:21" ht="60" customHeight="1" thickTop="1" x14ac:dyDescent="0.35"/>
    <row r="101" spans="7:21" ht="60" customHeight="1" x14ac:dyDescent="0.35"/>
    <row r="102" spans="7:21" ht="60" customHeight="1" thickBot="1" x14ac:dyDescent="0.4"/>
    <row r="103" spans="7:21" ht="60" customHeight="1" thickTop="1" x14ac:dyDescent="0.35">
      <c r="G103" s="128" t="s">
        <v>134</v>
      </c>
      <c r="H103" s="129" t="s">
        <v>700</v>
      </c>
      <c r="I103" s="146"/>
      <c r="J103" s="146"/>
      <c r="K103" s="146"/>
      <c r="L103" s="146"/>
      <c r="M103" s="146"/>
      <c r="N103" s="146"/>
      <c r="O103" s="146"/>
      <c r="P103" s="146"/>
      <c r="Q103" s="146"/>
      <c r="R103" s="127" t="s">
        <v>1576</v>
      </c>
      <c r="S103" s="123"/>
      <c r="T103" s="131" t="s">
        <v>690</v>
      </c>
      <c r="U103" s="87" t="s">
        <v>671</v>
      </c>
    </row>
    <row r="104" spans="7:21" ht="60" customHeight="1" x14ac:dyDescent="0.35">
      <c r="G104" s="37" t="s">
        <v>658</v>
      </c>
      <c r="H104" s="30">
        <v>5</v>
      </c>
      <c r="I104" s="147"/>
      <c r="J104" s="147"/>
      <c r="K104" s="147"/>
      <c r="L104" s="147"/>
      <c r="M104" s="147"/>
      <c r="N104" s="147"/>
      <c r="O104" s="147"/>
      <c r="P104" s="147"/>
      <c r="Q104" s="147"/>
      <c r="R104" s="29">
        <v>5</v>
      </c>
      <c r="S104" s="42"/>
      <c r="T104" s="132"/>
      <c r="U104" s="130"/>
    </row>
    <row r="105" spans="7:21" ht="60" customHeight="1" x14ac:dyDescent="0.35">
      <c r="G105" s="37" t="s">
        <v>686</v>
      </c>
      <c r="H105" s="30" t="s">
        <v>687</v>
      </c>
      <c r="I105" s="147"/>
      <c r="J105" s="147"/>
      <c r="K105" s="147"/>
      <c r="L105" s="147"/>
      <c r="M105" s="147"/>
      <c r="N105" s="147"/>
      <c r="O105" s="147"/>
      <c r="P105" s="147"/>
      <c r="Q105" s="147"/>
      <c r="R105" s="29" t="s">
        <v>687</v>
      </c>
      <c r="S105" s="42"/>
      <c r="T105" s="132"/>
      <c r="U105" s="130"/>
    </row>
    <row r="106" spans="7:21" ht="60" customHeight="1" x14ac:dyDescent="0.35">
      <c r="G106" s="37" t="s">
        <v>656</v>
      </c>
      <c r="H106" s="30">
        <v>10</v>
      </c>
      <c r="I106" s="147"/>
      <c r="J106" s="147"/>
      <c r="K106" s="147"/>
      <c r="L106" s="147"/>
      <c r="M106" s="147"/>
      <c r="N106" s="147"/>
      <c r="O106" s="147"/>
      <c r="P106" s="147"/>
      <c r="Q106" s="147"/>
      <c r="R106" s="29">
        <v>10</v>
      </c>
      <c r="S106" s="42"/>
      <c r="T106" s="132"/>
      <c r="U106" s="130"/>
    </row>
    <row r="107" spans="7:21" ht="60" customHeight="1" x14ac:dyDescent="0.35">
      <c r="G107" s="37" t="s">
        <v>688</v>
      </c>
      <c r="H107" s="30" t="s">
        <v>687</v>
      </c>
      <c r="I107" s="147"/>
      <c r="J107" s="147"/>
      <c r="K107" s="147"/>
      <c r="L107" s="147"/>
      <c r="M107" s="147"/>
      <c r="N107" s="147"/>
      <c r="O107" s="147"/>
      <c r="P107" s="147"/>
      <c r="Q107" s="147"/>
      <c r="R107" s="29" t="s">
        <v>687</v>
      </c>
      <c r="S107" s="42"/>
      <c r="T107" s="140" t="s">
        <v>687</v>
      </c>
      <c r="U107" s="141"/>
    </row>
    <row r="108" spans="7:21" ht="60" customHeight="1" thickBot="1" x14ac:dyDescent="0.4">
      <c r="G108" s="68" t="s">
        <v>657</v>
      </c>
      <c r="H108" s="33">
        <f>H106*H104</f>
        <v>50</v>
      </c>
      <c r="I108" s="145"/>
      <c r="J108" s="145"/>
      <c r="K108" s="145"/>
      <c r="L108" s="145"/>
      <c r="M108" s="145"/>
      <c r="N108" s="145"/>
      <c r="O108" s="145"/>
      <c r="P108" s="145"/>
      <c r="Q108" s="145"/>
      <c r="R108" s="32">
        <f>R106*R104</f>
        <v>50</v>
      </c>
      <c r="S108" s="43"/>
      <c r="T108" s="133">
        <f>SUM(H108:S108)</f>
        <v>100</v>
      </c>
      <c r="U108" s="142" t="s">
        <v>672</v>
      </c>
    </row>
    <row r="109" spans="7:21" ht="15" thickTop="1" x14ac:dyDescent="0.35"/>
    <row r="110" spans="7:21" ht="15" thickBot="1" x14ac:dyDescent="0.4"/>
    <row r="111" spans="7:21" ht="60" customHeight="1" thickTop="1" x14ac:dyDescent="0.35">
      <c r="G111" s="128" t="s">
        <v>134</v>
      </c>
      <c r="H111" s="129" t="s">
        <v>701</v>
      </c>
      <c r="I111" s="146"/>
      <c r="J111" s="146"/>
      <c r="K111" s="146"/>
      <c r="L111" s="146"/>
      <c r="M111" s="146"/>
      <c r="N111" s="146"/>
      <c r="O111" s="146"/>
      <c r="P111" s="146"/>
      <c r="Q111" s="146"/>
      <c r="R111" s="127" t="s">
        <v>1576</v>
      </c>
      <c r="S111" s="123"/>
      <c r="T111" s="131" t="s">
        <v>690</v>
      </c>
      <c r="U111" s="87" t="s">
        <v>671</v>
      </c>
    </row>
    <row r="112" spans="7:21" ht="60" customHeight="1" x14ac:dyDescent="0.35">
      <c r="G112" s="37" t="s">
        <v>658</v>
      </c>
      <c r="H112" s="30">
        <v>5</v>
      </c>
      <c r="I112" s="147"/>
      <c r="J112" s="147"/>
      <c r="K112" s="147"/>
      <c r="L112" s="147"/>
      <c r="M112" s="147"/>
      <c r="N112" s="147"/>
      <c r="O112" s="147"/>
      <c r="P112" s="147"/>
      <c r="Q112" s="147"/>
      <c r="R112" s="29">
        <v>5</v>
      </c>
      <c r="S112" s="42"/>
      <c r="T112" s="132"/>
      <c r="U112" s="130"/>
    </row>
    <row r="113" spans="7:21" ht="60" customHeight="1" x14ac:dyDescent="0.35">
      <c r="G113" s="37" t="s">
        <v>686</v>
      </c>
      <c r="H113" s="30" t="s">
        <v>687</v>
      </c>
      <c r="I113" s="147"/>
      <c r="J113" s="147"/>
      <c r="K113" s="147"/>
      <c r="L113" s="147"/>
      <c r="M113" s="147"/>
      <c r="N113" s="147"/>
      <c r="O113" s="147"/>
      <c r="P113" s="147"/>
      <c r="Q113" s="147"/>
      <c r="R113" s="29" t="s">
        <v>687</v>
      </c>
      <c r="S113" s="42"/>
      <c r="T113" s="132"/>
      <c r="U113" s="130"/>
    </row>
    <row r="114" spans="7:21" ht="60" customHeight="1" x14ac:dyDescent="0.35">
      <c r="G114" s="37" t="s">
        <v>656</v>
      </c>
      <c r="H114" s="30">
        <v>10</v>
      </c>
      <c r="I114" s="147"/>
      <c r="J114" s="147"/>
      <c r="K114" s="147"/>
      <c r="L114" s="147"/>
      <c r="M114" s="147"/>
      <c r="N114" s="147"/>
      <c r="O114" s="147"/>
      <c r="P114" s="147"/>
      <c r="Q114" s="147"/>
      <c r="R114" s="29">
        <v>10</v>
      </c>
      <c r="S114" s="42"/>
      <c r="T114" s="132"/>
      <c r="U114" s="130"/>
    </row>
    <row r="115" spans="7:21" ht="60" customHeight="1" x14ac:dyDescent="0.35">
      <c r="G115" s="37" t="s">
        <v>688</v>
      </c>
      <c r="H115" s="30" t="s">
        <v>687</v>
      </c>
      <c r="I115" s="147"/>
      <c r="J115" s="147"/>
      <c r="K115" s="147"/>
      <c r="L115" s="147"/>
      <c r="M115" s="147"/>
      <c r="N115" s="147"/>
      <c r="O115" s="147"/>
      <c r="P115" s="147"/>
      <c r="Q115" s="147"/>
      <c r="R115" s="29" t="s">
        <v>687</v>
      </c>
      <c r="S115" s="42"/>
      <c r="T115" s="140" t="s">
        <v>687</v>
      </c>
      <c r="U115" s="141"/>
    </row>
    <row r="116" spans="7:21" ht="60" customHeight="1" thickBot="1" x14ac:dyDescent="0.4">
      <c r="G116" s="68" t="s">
        <v>657</v>
      </c>
      <c r="H116" s="33">
        <f>H114*H112</f>
        <v>50</v>
      </c>
      <c r="I116" s="145"/>
      <c r="J116" s="145"/>
      <c r="K116" s="145"/>
      <c r="L116" s="145"/>
      <c r="M116" s="145"/>
      <c r="N116" s="145"/>
      <c r="O116" s="145"/>
      <c r="P116" s="145"/>
      <c r="Q116" s="145"/>
      <c r="R116" s="32">
        <f>R114*R112</f>
        <v>50</v>
      </c>
      <c r="S116" s="43"/>
      <c r="T116" s="133">
        <f>SUM(H116:S116)</f>
        <v>100</v>
      </c>
      <c r="U116" s="142" t="s">
        <v>672</v>
      </c>
    </row>
    <row r="117" spans="7:21" ht="15" thickTop="1" x14ac:dyDescent="0.35"/>
    <row r="118" spans="7:21" ht="15" thickBot="1" x14ac:dyDescent="0.4"/>
    <row r="119" spans="7:21" ht="60" customHeight="1" thickTop="1" x14ac:dyDescent="0.35">
      <c r="G119" s="128" t="s">
        <v>134</v>
      </c>
      <c r="H119" s="129" t="s">
        <v>702</v>
      </c>
      <c r="I119" s="129" t="s">
        <v>703</v>
      </c>
      <c r="J119" s="146"/>
      <c r="K119" s="146"/>
      <c r="L119" s="146"/>
      <c r="M119" s="146"/>
      <c r="N119" s="146"/>
      <c r="O119" s="146"/>
      <c r="P119" s="146"/>
      <c r="Q119" s="146"/>
      <c r="R119" s="127" t="s">
        <v>1576</v>
      </c>
      <c r="S119" s="123"/>
      <c r="T119" s="131" t="s">
        <v>690</v>
      </c>
      <c r="U119" s="87" t="s">
        <v>671</v>
      </c>
    </row>
    <row r="120" spans="7:21" ht="60" customHeight="1" x14ac:dyDescent="0.35">
      <c r="G120" s="37" t="s">
        <v>658</v>
      </c>
      <c r="H120" s="30">
        <v>5</v>
      </c>
      <c r="I120" s="30">
        <v>5</v>
      </c>
      <c r="J120" s="147"/>
      <c r="K120" s="147"/>
      <c r="L120" s="147"/>
      <c r="M120" s="147"/>
      <c r="N120" s="147"/>
      <c r="O120" s="147"/>
      <c r="P120" s="147"/>
      <c r="Q120" s="147"/>
      <c r="R120" s="29">
        <v>5</v>
      </c>
      <c r="S120" s="42"/>
      <c r="T120" s="132"/>
      <c r="U120" s="130"/>
    </row>
    <row r="121" spans="7:21" ht="60" customHeight="1" x14ac:dyDescent="0.35">
      <c r="G121" s="37" t="s">
        <v>686</v>
      </c>
      <c r="H121" s="30" t="s">
        <v>687</v>
      </c>
      <c r="I121" s="30" t="s">
        <v>687</v>
      </c>
      <c r="J121" s="147"/>
      <c r="K121" s="147"/>
      <c r="L121" s="147"/>
      <c r="M121" s="147"/>
      <c r="N121" s="147"/>
      <c r="O121" s="147"/>
      <c r="P121" s="147"/>
      <c r="Q121" s="147"/>
      <c r="R121" s="29" t="s">
        <v>687</v>
      </c>
      <c r="S121" s="42"/>
      <c r="T121" s="132"/>
      <c r="U121" s="130"/>
    </row>
    <row r="122" spans="7:21" ht="60" customHeight="1" x14ac:dyDescent="0.35">
      <c r="G122" s="37" t="s">
        <v>656</v>
      </c>
      <c r="H122" s="30">
        <v>6</v>
      </c>
      <c r="I122" s="30">
        <v>6</v>
      </c>
      <c r="J122" s="147"/>
      <c r="K122" s="147"/>
      <c r="L122" s="147"/>
      <c r="M122" s="147"/>
      <c r="N122" s="147"/>
      <c r="O122" s="147"/>
      <c r="P122" s="147"/>
      <c r="Q122" s="147"/>
      <c r="R122" s="29">
        <v>8</v>
      </c>
      <c r="S122" s="42"/>
      <c r="T122" s="132"/>
      <c r="U122" s="130"/>
    </row>
    <row r="123" spans="7:21" ht="60" customHeight="1" x14ac:dyDescent="0.35">
      <c r="G123" s="37" t="s">
        <v>688</v>
      </c>
      <c r="H123" s="30" t="s">
        <v>687</v>
      </c>
      <c r="I123" s="30" t="s">
        <v>687</v>
      </c>
      <c r="J123" s="147"/>
      <c r="K123" s="147"/>
      <c r="L123" s="147"/>
      <c r="M123" s="147"/>
      <c r="N123" s="147"/>
      <c r="O123" s="147"/>
      <c r="P123" s="147"/>
      <c r="Q123" s="147"/>
      <c r="R123" s="29" t="s">
        <v>687</v>
      </c>
      <c r="S123" s="42"/>
      <c r="T123" s="140" t="s">
        <v>687</v>
      </c>
      <c r="U123" s="141"/>
    </row>
    <row r="124" spans="7:21" ht="60" customHeight="1" thickBot="1" x14ac:dyDescent="0.4">
      <c r="G124" s="68" t="s">
        <v>657</v>
      </c>
      <c r="H124" s="33">
        <f>H122*H120</f>
        <v>30</v>
      </c>
      <c r="I124" s="33">
        <f>I122*I120</f>
        <v>30</v>
      </c>
      <c r="J124" s="145"/>
      <c r="K124" s="145"/>
      <c r="L124" s="145"/>
      <c r="M124" s="145"/>
      <c r="N124" s="145"/>
      <c r="O124" s="145"/>
      <c r="P124" s="145"/>
      <c r="Q124" s="145"/>
      <c r="R124" s="32">
        <f>R122*R120</f>
        <v>40</v>
      </c>
      <c r="S124" s="43"/>
      <c r="T124" s="133">
        <f>SUM(H124:S124)</f>
        <v>100</v>
      </c>
      <c r="U124" s="142" t="s">
        <v>672</v>
      </c>
    </row>
    <row r="125" spans="7:21" ht="15" thickTop="1" x14ac:dyDescent="0.35"/>
    <row r="126" spans="7:21" ht="15" thickBot="1" x14ac:dyDescent="0.4"/>
    <row r="127" spans="7:21" ht="100" customHeight="1" thickTop="1" x14ac:dyDescent="0.35">
      <c r="G127" s="128" t="s">
        <v>134</v>
      </c>
      <c r="H127" s="129" t="s">
        <v>702</v>
      </c>
      <c r="I127" s="129" t="s">
        <v>704</v>
      </c>
      <c r="J127" s="146"/>
      <c r="K127" s="146"/>
      <c r="L127" s="146"/>
      <c r="M127" s="146"/>
      <c r="N127" s="146"/>
      <c r="O127" s="146"/>
      <c r="P127" s="146"/>
      <c r="Q127" s="146"/>
      <c r="R127" s="127" t="s">
        <v>1576</v>
      </c>
      <c r="S127" s="123"/>
      <c r="T127" s="131" t="s">
        <v>690</v>
      </c>
      <c r="U127" s="87" t="s">
        <v>671</v>
      </c>
    </row>
    <row r="128" spans="7:21" ht="60" customHeight="1" x14ac:dyDescent="0.35">
      <c r="G128" s="37" t="s">
        <v>658</v>
      </c>
      <c r="H128" s="30">
        <v>5</v>
      </c>
      <c r="I128" s="30">
        <v>5</v>
      </c>
      <c r="J128" s="147"/>
      <c r="K128" s="147"/>
      <c r="L128" s="147"/>
      <c r="M128" s="147"/>
      <c r="N128" s="147"/>
      <c r="O128" s="147"/>
      <c r="P128" s="147"/>
      <c r="Q128" s="147"/>
      <c r="R128" s="29">
        <v>5</v>
      </c>
      <c r="S128" s="42"/>
      <c r="T128" s="132"/>
      <c r="U128" s="130"/>
    </row>
    <row r="129" spans="7:21" ht="60" customHeight="1" x14ac:dyDescent="0.35">
      <c r="G129" s="37" t="s">
        <v>686</v>
      </c>
      <c r="H129" s="30" t="s">
        <v>687</v>
      </c>
      <c r="I129" s="30" t="s">
        <v>687</v>
      </c>
      <c r="J129" s="147"/>
      <c r="K129" s="147"/>
      <c r="L129" s="147"/>
      <c r="M129" s="147"/>
      <c r="N129" s="147"/>
      <c r="O129" s="147"/>
      <c r="P129" s="147"/>
      <c r="Q129" s="147"/>
      <c r="R129" s="29" t="s">
        <v>687</v>
      </c>
      <c r="S129" s="42"/>
      <c r="T129" s="132"/>
      <c r="U129" s="130"/>
    </row>
    <row r="130" spans="7:21" ht="60" customHeight="1" x14ac:dyDescent="0.35">
      <c r="G130" s="37" t="s">
        <v>656</v>
      </c>
      <c r="H130" s="30">
        <v>7</v>
      </c>
      <c r="I130" s="30">
        <v>7</v>
      </c>
      <c r="J130" s="147"/>
      <c r="K130" s="147"/>
      <c r="L130" s="147"/>
      <c r="M130" s="147"/>
      <c r="N130" s="147"/>
      <c r="O130" s="147"/>
      <c r="P130" s="147"/>
      <c r="Q130" s="147"/>
      <c r="R130" s="29">
        <v>6</v>
      </c>
      <c r="S130" s="42"/>
      <c r="T130" s="132"/>
      <c r="U130" s="130"/>
    </row>
    <row r="131" spans="7:21" ht="60" customHeight="1" x14ac:dyDescent="0.35">
      <c r="G131" s="37" t="s">
        <v>688</v>
      </c>
      <c r="H131" s="30" t="s">
        <v>687</v>
      </c>
      <c r="I131" s="30" t="s">
        <v>687</v>
      </c>
      <c r="J131" s="147"/>
      <c r="K131" s="147"/>
      <c r="L131" s="147"/>
      <c r="M131" s="147"/>
      <c r="N131" s="147"/>
      <c r="O131" s="147"/>
      <c r="P131" s="147"/>
      <c r="Q131" s="147"/>
      <c r="R131" s="29" t="s">
        <v>687</v>
      </c>
      <c r="S131" s="42"/>
      <c r="T131" s="140" t="s">
        <v>687</v>
      </c>
      <c r="U131" s="141"/>
    </row>
    <row r="132" spans="7:21" ht="60" customHeight="1" thickBot="1" x14ac:dyDescent="0.4">
      <c r="G132" s="68" t="s">
        <v>657</v>
      </c>
      <c r="H132" s="33">
        <f>H130*H128</f>
        <v>35</v>
      </c>
      <c r="I132" s="33">
        <f>I130*I128</f>
        <v>35</v>
      </c>
      <c r="J132" s="145"/>
      <c r="K132" s="145"/>
      <c r="L132" s="145"/>
      <c r="M132" s="145"/>
      <c r="N132" s="145"/>
      <c r="O132" s="145"/>
      <c r="P132" s="145"/>
      <c r="Q132" s="145"/>
      <c r="R132" s="32">
        <f>R130*R128</f>
        <v>30</v>
      </c>
      <c r="S132" s="43"/>
      <c r="T132" s="133">
        <f>SUM(H132:S132)</f>
        <v>100</v>
      </c>
      <c r="U132" s="142" t="s">
        <v>672</v>
      </c>
    </row>
    <row r="133" spans="7:21" ht="15" thickTop="1" x14ac:dyDescent="0.35"/>
    <row r="134" spans="7:21" ht="15" thickBot="1" x14ac:dyDescent="0.4"/>
    <row r="135" spans="7:21" ht="60" customHeight="1" thickTop="1" x14ac:dyDescent="0.35">
      <c r="G135" s="128" t="s">
        <v>134</v>
      </c>
      <c r="H135" s="129" t="s">
        <v>705</v>
      </c>
      <c r="I135" s="129" t="s">
        <v>706</v>
      </c>
      <c r="J135" s="146"/>
      <c r="K135" s="146"/>
      <c r="L135" s="146"/>
      <c r="M135" s="146"/>
      <c r="N135" s="146"/>
      <c r="O135" s="146"/>
      <c r="P135" s="146"/>
      <c r="Q135" s="146"/>
      <c r="R135" s="127" t="s">
        <v>1576</v>
      </c>
      <c r="S135" s="123"/>
      <c r="T135" s="131" t="s">
        <v>690</v>
      </c>
      <c r="U135" s="87" t="s">
        <v>671</v>
      </c>
    </row>
    <row r="136" spans="7:21" ht="60" customHeight="1" x14ac:dyDescent="0.35">
      <c r="G136" s="37" t="s">
        <v>658</v>
      </c>
      <c r="H136" s="30">
        <v>5</v>
      </c>
      <c r="I136" s="30">
        <v>5</v>
      </c>
      <c r="J136" s="147"/>
      <c r="K136" s="147"/>
      <c r="L136" s="147"/>
      <c r="M136" s="147"/>
      <c r="N136" s="147"/>
      <c r="O136" s="147"/>
      <c r="P136" s="147"/>
      <c r="Q136" s="147"/>
      <c r="R136" s="29">
        <v>5</v>
      </c>
      <c r="S136" s="42"/>
      <c r="T136" s="132"/>
      <c r="U136" s="130"/>
    </row>
    <row r="137" spans="7:21" ht="60" customHeight="1" x14ac:dyDescent="0.35">
      <c r="G137" s="37" t="s">
        <v>686</v>
      </c>
      <c r="H137" s="30" t="s">
        <v>687</v>
      </c>
      <c r="I137" s="30" t="s">
        <v>687</v>
      </c>
      <c r="J137" s="147"/>
      <c r="K137" s="147"/>
      <c r="L137" s="147"/>
      <c r="M137" s="147"/>
      <c r="N137" s="147"/>
      <c r="O137" s="147"/>
      <c r="P137" s="147"/>
      <c r="Q137" s="147"/>
      <c r="R137" s="29" t="s">
        <v>687</v>
      </c>
      <c r="S137" s="42"/>
      <c r="T137" s="132"/>
      <c r="U137" s="130"/>
    </row>
    <row r="138" spans="7:21" ht="60" customHeight="1" x14ac:dyDescent="0.35">
      <c r="G138" s="37" t="s">
        <v>656</v>
      </c>
      <c r="H138" s="30">
        <v>7</v>
      </c>
      <c r="I138" s="30">
        <v>7</v>
      </c>
      <c r="J138" s="147"/>
      <c r="K138" s="147"/>
      <c r="L138" s="147"/>
      <c r="M138" s="147"/>
      <c r="N138" s="147"/>
      <c r="O138" s="147"/>
      <c r="P138" s="147"/>
      <c r="Q138" s="147"/>
      <c r="R138" s="29">
        <v>6</v>
      </c>
      <c r="S138" s="42"/>
      <c r="T138" s="132"/>
      <c r="U138" s="130"/>
    </row>
    <row r="139" spans="7:21" ht="60" customHeight="1" x14ac:dyDescent="0.35">
      <c r="G139" s="37" t="s">
        <v>688</v>
      </c>
      <c r="H139" s="30" t="s">
        <v>687</v>
      </c>
      <c r="I139" s="30" t="s">
        <v>687</v>
      </c>
      <c r="J139" s="147"/>
      <c r="K139" s="147"/>
      <c r="L139" s="147"/>
      <c r="M139" s="147"/>
      <c r="N139" s="147"/>
      <c r="O139" s="147"/>
      <c r="P139" s="147"/>
      <c r="Q139" s="147"/>
      <c r="R139" s="29" t="s">
        <v>687</v>
      </c>
      <c r="S139" s="42"/>
      <c r="T139" s="140" t="s">
        <v>687</v>
      </c>
      <c r="U139" s="141"/>
    </row>
    <row r="140" spans="7:21" ht="60" customHeight="1" thickBot="1" x14ac:dyDescent="0.4">
      <c r="G140" s="68" t="s">
        <v>657</v>
      </c>
      <c r="H140" s="33">
        <f>H138*H136</f>
        <v>35</v>
      </c>
      <c r="I140" s="33">
        <f>I138*I136</f>
        <v>35</v>
      </c>
      <c r="J140" s="145"/>
      <c r="K140" s="145"/>
      <c r="L140" s="145"/>
      <c r="M140" s="145"/>
      <c r="N140" s="145"/>
      <c r="O140" s="145"/>
      <c r="P140" s="145"/>
      <c r="Q140" s="145"/>
      <c r="R140" s="32">
        <f>R138*R136</f>
        <v>30</v>
      </c>
      <c r="S140" s="43"/>
      <c r="T140" s="133">
        <f>SUM(H140:S140)</f>
        <v>100</v>
      </c>
      <c r="U140" s="142" t="s">
        <v>672</v>
      </c>
    </row>
    <row r="141" spans="7:21" ht="15" thickTop="1" x14ac:dyDescent="0.35"/>
    <row r="143" spans="7:21" ht="15" thickBot="1" x14ac:dyDescent="0.4"/>
    <row r="144" spans="7:21" ht="60" customHeight="1" thickTop="1" x14ac:dyDescent="0.35">
      <c r="G144" s="128" t="s">
        <v>134</v>
      </c>
      <c r="H144" s="129" t="s">
        <v>709</v>
      </c>
      <c r="I144" s="129"/>
      <c r="J144" s="146"/>
      <c r="K144" s="146"/>
      <c r="L144" s="146"/>
      <c r="M144" s="146"/>
      <c r="N144" s="146"/>
      <c r="O144" s="146"/>
      <c r="P144" s="146"/>
      <c r="Q144" s="146"/>
      <c r="R144" s="127" t="s">
        <v>1576</v>
      </c>
      <c r="S144" s="123"/>
      <c r="T144" s="131" t="s">
        <v>690</v>
      </c>
      <c r="U144" s="87" t="s">
        <v>671</v>
      </c>
    </row>
    <row r="145" spans="7:21" ht="60" customHeight="1" x14ac:dyDescent="0.35">
      <c r="G145" s="37" t="s">
        <v>658</v>
      </c>
      <c r="H145" s="30">
        <v>5</v>
      </c>
      <c r="I145" s="30"/>
      <c r="J145" s="147"/>
      <c r="K145" s="147"/>
      <c r="L145" s="147"/>
      <c r="M145" s="147"/>
      <c r="N145" s="147"/>
      <c r="O145" s="147"/>
      <c r="P145" s="147"/>
      <c r="Q145" s="147"/>
      <c r="R145" s="29">
        <v>5</v>
      </c>
      <c r="S145" s="42"/>
      <c r="T145" s="132"/>
      <c r="U145" s="130"/>
    </row>
    <row r="146" spans="7:21" ht="60" customHeight="1" x14ac:dyDescent="0.35">
      <c r="G146" s="37" t="s">
        <v>686</v>
      </c>
      <c r="H146" s="30" t="s">
        <v>687</v>
      </c>
      <c r="I146" s="30"/>
      <c r="J146" s="147"/>
      <c r="K146" s="147"/>
      <c r="L146" s="147"/>
      <c r="M146" s="147"/>
      <c r="N146" s="147"/>
      <c r="O146" s="147"/>
      <c r="P146" s="147"/>
      <c r="Q146" s="147"/>
      <c r="R146" s="29" t="s">
        <v>687</v>
      </c>
      <c r="S146" s="42"/>
      <c r="T146" s="132"/>
      <c r="U146" s="130"/>
    </row>
    <row r="147" spans="7:21" ht="60" customHeight="1" x14ac:dyDescent="0.35">
      <c r="G147" s="37" t="s">
        <v>656</v>
      </c>
      <c r="H147" s="30">
        <v>10</v>
      </c>
      <c r="I147" s="30"/>
      <c r="J147" s="147"/>
      <c r="K147" s="147"/>
      <c r="L147" s="147"/>
      <c r="M147" s="147"/>
      <c r="N147" s="147"/>
      <c r="O147" s="147"/>
      <c r="P147" s="147"/>
      <c r="Q147" s="147"/>
      <c r="R147" s="29">
        <v>10</v>
      </c>
      <c r="S147" s="42"/>
      <c r="T147" s="132"/>
      <c r="U147" s="130"/>
    </row>
    <row r="148" spans="7:21" ht="60" customHeight="1" x14ac:dyDescent="0.35">
      <c r="G148" s="37" t="s">
        <v>688</v>
      </c>
      <c r="H148" s="30" t="s">
        <v>687</v>
      </c>
      <c r="I148" s="30"/>
      <c r="J148" s="147"/>
      <c r="K148" s="147"/>
      <c r="L148" s="147"/>
      <c r="M148" s="147"/>
      <c r="N148" s="147"/>
      <c r="O148" s="147"/>
      <c r="P148" s="147"/>
      <c r="Q148" s="147"/>
      <c r="R148" s="29" t="s">
        <v>687</v>
      </c>
      <c r="S148" s="42"/>
      <c r="T148" s="140" t="s">
        <v>687</v>
      </c>
      <c r="U148" s="141"/>
    </row>
    <row r="149" spans="7:21" ht="60" customHeight="1" thickBot="1" x14ac:dyDescent="0.4">
      <c r="G149" s="68" t="s">
        <v>657</v>
      </c>
      <c r="H149" s="33">
        <f>H147*H145</f>
        <v>50</v>
      </c>
      <c r="I149" s="33"/>
      <c r="J149" s="145"/>
      <c r="K149" s="145"/>
      <c r="L149" s="145"/>
      <c r="M149" s="145"/>
      <c r="N149" s="145"/>
      <c r="O149" s="145"/>
      <c r="P149" s="145"/>
      <c r="Q149" s="145"/>
      <c r="R149" s="32">
        <f>R147*R145</f>
        <v>50</v>
      </c>
      <c r="S149" s="43"/>
      <c r="T149" s="133">
        <f>SUM(H149:S149)</f>
        <v>100</v>
      </c>
      <c r="U149" s="142" t="s">
        <v>672</v>
      </c>
    </row>
    <row r="150" spans="7:21" ht="15" thickTop="1" x14ac:dyDescent="0.35"/>
    <row r="151" spans="7:21" ht="15" thickBot="1" x14ac:dyDescent="0.4"/>
    <row r="152" spans="7:21" ht="60" customHeight="1" thickTop="1" x14ac:dyDescent="0.35">
      <c r="G152" s="128" t="s">
        <v>134</v>
      </c>
      <c r="H152" s="129" t="s">
        <v>710</v>
      </c>
      <c r="I152" s="129"/>
      <c r="J152" s="146"/>
      <c r="K152" s="146"/>
      <c r="L152" s="146"/>
      <c r="M152" s="146"/>
      <c r="N152" s="146"/>
      <c r="O152" s="146"/>
      <c r="P152" s="146"/>
      <c r="Q152" s="146"/>
      <c r="R152" s="127" t="s">
        <v>1576</v>
      </c>
      <c r="S152" s="123"/>
      <c r="T152" s="131" t="s">
        <v>690</v>
      </c>
      <c r="U152" s="87" t="s">
        <v>671</v>
      </c>
    </row>
    <row r="153" spans="7:21" ht="60" customHeight="1" x14ac:dyDescent="0.35">
      <c r="G153" s="37" t="s">
        <v>658</v>
      </c>
      <c r="H153" s="30">
        <v>5</v>
      </c>
      <c r="I153" s="30"/>
      <c r="J153" s="147"/>
      <c r="K153" s="147"/>
      <c r="L153" s="147"/>
      <c r="M153" s="147"/>
      <c r="N153" s="147"/>
      <c r="O153" s="147"/>
      <c r="P153" s="147"/>
      <c r="Q153" s="147"/>
      <c r="R153" s="29">
        <v>5</v>
      </c>
      <c r="S153" s="42"/>
      <c r="T153" s="132"/>
      <c r="U153" s="130"/>
    </row>
    <row r="154" spans="7:21" ht="60" customHeight="1" x14ac:dyDescent="0.35">
      <c r="G154" s="37" t="s">
        <v>686</v>
      </c>
      <c r="H154" s="30" t="s">
        <v>687</v>
      </c>
      <c r="I154" s="30"/>
      <c r="J154" s="147"/>
      <c r="K154" s="147"/>
      <c r="L154" s="147"/>
      <c r="M154" s="147"/>
      <c r="N154" s="147"/>
      <c r="O154" s="147"/>
      <c r="P154" s="147"/>
      <c r="Q154" s="147"/>
      <c r="R154" s="29" t="s">
        <v>687</v>
      </c>
      <c r="S154" s="42"/>
      <c r="T154" s="132"/>
      <c r="U154" s="130"/>
    </row>
    <row r="155" spans="7:21" ht="60" customHeight="1" x14ac:dyDescent="0.35">
      <c r="G155" s="37" t="s">
        <v>656</v>
      </c>
      <c r="H155" s="30">
        <v>8</v>
      </c>
      <c r="I155" s="30"/>
      <c r="J155" s="147"/>
      <c r="K155" s="147"/>
      <c r="L155" s="147"/>
      <c r="M155" s="147"/>
      <c r="N155" s="147"/>
      <c r="O155" s="147"/>
      <c r="P155" s="147"/>
      <c r="Q155" s="147"/>
      <c r="R155" s="29">
        <v>12</v>
      </c>
      <c r="S155" s="42"/>
      <c r="T155" s="132"/>
      <c r="U155" s="130"/>
    </row>
    <row r="156" spans="7:21" ht="60" customHeight="1" x14ac:dyDescent="0.35">
      <c r="G156" s="37" t="s">
        <v>688</v>
      </c>
      <c r="H156" s="30" t="s">
        <v>687</v>
      </c>
      <c r="I156" s="30"/>
      <c r="J156" s="147"/>
      <c r="K156" s="147"/>
      <c r="L156" s="147"/>
      <c r="M156" s="147"/>
      <c r="N156" s="147"/>
      <c r="O156" s="147"/>
      <c r="P156" s="147"/>
      <c r="Q156" s="147"/>
      <c r="R156" s="29" t="s">
        <v>687</v>
      </c>
      <c r="S156" s="42"/>
      <c r="T156" s="140" t="s">
        <v>687</v>
      </c>
      <c r="U156" s="141"/>
    </row>
    <row r="157" spans="7:21" ht="60" customHeight="1" thickBot="1" x14ac:dyDescent="0.4">
      <c r="G157" s="68" t="s">
        <v>657</v>
      </c>
      <c r="H157" s="33">
        <f>H155*H153</f>
        <v>40</v>
      </c>
      <c r="I157" s="33"/>
      <c r="J157" s="145"/>
      <c r="K157" s="145"/>
      <c r="L157" s="145"/>
      <c r="M157" s="145"/>
      <c r="N157" s="145"/>
      <c r="O157" s="145"/>
      <c r="P157" s="145"/>
      <c r="Q157" s="145"/>
      <c r="R157" s="32">
        <f>R155*R153</f>
        <v>60</v>
      </c>
      <c r="S157" s="43"/>
      <c r="T157" s="133">
        <f>SUM(H157:S157)</f>
        <v>100</v>
      </c>
      <c r="U157" s="142" t="s">
        <v>672</v>
      </c>
    </row>
    <row r="158" spans="7:21" ht="15" thickTop="1" x14ac:dyDescent="0.35"/>
  </sheetData>
  <pageMargins left="0.7" right="0.7" top="0.75" bottom="0.75" header="0.3" footer="0.3"/>
  <pageSetup orientation="portrait" horizontalDpi="4294967293" verticalDpi="0" r:id="rId1"/>
  <headerFooter>
    <oddFooter>&amp;C_x000D_&amp;1#&amp;"Calibri"&amp;8&amp;K000000 INTERNAL. This information is accessible to ADB Management and staff. It may be shared outside ADB with appropriate permission.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F4C0D-2B42-45BA-91BA-62CCB2B2FFE3}">
  <dimension ref="B1:G57"/>
  <sheetViews>
    <sheetView topLeftCell="E50" workbookViewId="0">
      <selection activeCell="L72" sqref="L72"/>
    </sheetView>
  </sheetViews>
  <sheetFormatPr defaultRowHeight="14.5" x14ac:dyDescent="0.35"/>
  <cols>
    <col min="2" max="2" width="14.1796875" bestFit="1" customWidth="1"/>
    <col min="3" max="4" width="27.81640625" customWidth="1"/>
    <col min="5" max="5" width="56.36328125" bestFit="1" customWidth="1"/>
    <col min="6" max="6" width="27.81640625" customWidth="1"/>
    <col min="7" max="7" width="17.81640625" customWidth="1"/>
  </cols>
  <sheetData>
    <row r="1" spans="2:7" x14ac:dyDescent="0.35">
      <c r="B1" t="s">
        <v>327</v>
      </c>
    </row>
    <row r="2" spans="2:7" ht="15" thickBot="1" x14ac:dyDescent="0.4">
      <c r="B2" s="11" t="s">
        <v>328</v>
      </c>
      <c r="C2" s="12" t="s">
        <v>329</v>
      </c>
      <c r="D2" s="12" t="s">
        <v>330</v>
      </c>
      <c r="E2" s="12" t="s">
        <v>331</v>
      </c>
      <c r="F2" s="13" t="s">
        <v>332</v>
      </c>
      <c r="G2" s="94" t="s">
        <v>333</v>
      </c>
    </row>
    <row r="3" spans="2:7" ht="15" thickTop="1" x14ac:dyDescent="0.35">
      <c r="B3" s="14">
        <v>1</v>
      </c>
      <c r="C3" s="7" t="s">
        <v>334</v>
      </c>
      <c r="D3" s="7" t="s">
        <v>335</v>
      </c>
      <c r="E3" s="7" t="s">
        <v>336</v>
      </c>
      <c r="F3" s="15"/>
    </row>
    <row r="4" spans="2:7" x14ac:dyDescent="0.35">
      <c r="B4" s="16">
        <v>2</v>
      </c>
      <c r="C4" s="10" t="s">
        <v>337</v>
      </c>
      <c r="D4" s="10" t="s">
        <v>338</v>
      </c>
      <c r="E4" s="10" t="s">
        <v>339</v>
      </c>
      <c r="F4" s="17" t="s">
        <v>340</v>
      </c>
    </row>
    <row r="5" spans="2:7" x14ac:dyDescent="0.35">
      <c r="B5" s="14">
        <v>3</v>
      </c>
      <c r="C5" s="7" t="s">
        <v>341</v>
      </c>
      <c r="D5" s="7" t="s">
        <v>342</v>
      </c>
      <c r="E5" s="7" t="s">
        <v>343</v>
      </c>
      <c r="F5" s="15" t="s">
        <v>344</v>
      </c>
    </row>
    <row r="6" spans="2:7" x14ac:dyDescent="0.35">
      <c r="B6" s="16">
        <v>4</v>
      </c>
      <c r="C6" s="10" t="s">
        <v>345</v>
      </c>
      <c r="D6" s="10" t="s">
        <v>346</v>
      </c>
      <c r="E6" s="10" t="s">
        <v>347</v>
      </c>
      <c r="F6" s="17" t="s">
        <v>348</v>
      </c>
    </row>
    <row r="7" spans="2:7" x14ac:dyDescent="0.35">
      <c r="B7" s="14">
        <v>5</v>
      </c>
      <c r="C7" s="7" t="s">
        <v>349</v>
      </c>
      <c r="D7" s="7" t="s">
        <v>349</v>
      </c>
      <c r="E7" s="7" t="s">
        <v>350</v>
      </c>
      <c r="F7" s="15" t="s">
        <v>351</v>
      </c>
    </row>
    <row r="8" spans="2:7" x14ac:dyDescent="0.35">
      <c r="B8" s="16">
        <v>6</v>
      </c>
      <c r="C8" s="10" t="s">
        <v>352</v>
      </c>
      <c r="D8" s="10" t="s">
        <v>352</v>
      </c>
      <c r="E8" s="10" t="s">
        <v>353</v>
      </c>
      <c r="F8" s="17" t="s">
        <v>351</v>
      </c>
    </row>
    <row r="9" spans="2:7" x14ac:dyDescent="0.35">
      <c r="B9" s="14">
        <v>7</v>
      </c>
      <c r="C9" s="7" t="s">
        <v>354</v>
      </c>
      <c r="D9" s="7" t="s">
        <v>354</v>
      </c>
      <c r="E9" s="7" t="s">
        <v>355</v>
      </c>
      <c r="F9" s="15" t="s">
        <v>351</v>
      </c>
    </row>
    <row r="10" spans="2:7" x14ac:dyDescent="0.35">
      <c r="B10" s="16">
        <v>8</v>
      </c>
      <c r="C10" s="10" t="s">
        <v>356</v>
      </c>
      <c r="D10" s="10" t="s">
        <v>356</v>
      </c>
      <c r="E10" s="10" t="s">
        <v>357</v>
      </c>
      <c r="F10" s="17" t="s">
        <v>351</v>
      </c>
    </row>
    <row r="11" spans="2:7" x14ac:dyDescent="0.35">
      <c r="B11" s="14">
        <v>9</v>
      </c>
      <c r="C11" s="7" t="s">
        <v>358</v>
      </c>
      <c r="D11" s="7" t="s">
        <v>359</v>
      </c>
      <c r="E11" s="7" t="s">
        <v>360</v>
      </c>
      <c r="F11" s="17" t="s">
        <v>361</v>
      </c>
    </row>
    <row r="12" spans="2:7" x14ac:dyDescent="0.35">
      <c r="B12" s="16">
        <v>10</v>
      </c>
      <c r="C12" s="10" t="s">
        <v>31</v>
      </c>
      <c r="D12" s="10" t="s">
        <v>31</v>
      </c>
      <c r="E12" s="10" t="s">
        <v>362</v>
      </c>
      <c r="F12" s="17" t="s">
        <v>363</v>
      </c>
      <c r="G12" s="10" t="s">
        <v>364</v>
      </c>
    </row>
    <row r="13" spans="2:7" x14ac:dyDescent="0.35">
      <c r="B13" s="14">
        <v>11</v>
      </c>
      <c r="C13" s="7" t="s">
        <v>30</v>
      </c>
      <c r="D13" s="7" t="s">
        <v>30</v>
      </c>
      <c r="E13" s="7" t="s">
        <v>365</v>
      </c>
      <c r="F13" s="15" t="s">
        <v>363</v>
      </c>
      <c r="G13" s="7" t="s">
        <v>364</v>
      </c>
    </row>
    <row r="14" spans="2:7" x14ac:dyDescent="0.35">
      <c r="B14" s="16">
        <v>12</v>
      </c>
      <c r="C14" s="10" t="s">
        <v>366</v>
      </c>
      <c r="D14" s="10" t="s">
        <v>366</v>
      </c>
      <c r="E14" s="10" t="s">
        <v>367</v>
      </c>
      <c r="F14" s="17" t="s">
        <v>361</v>
      </c>
    </row>
    <row r="15" spans="2:7" x14ac:dyDescent="0.35">
      <c r="B15" s="14">
        <v>13</v>
      </c>
      <c r="C15" s="7" t="s">
        <v>368</v>
      </c>
      <c r="D15" s="7" t="s">
        <v>369</v>
      </c>
      <c r="E15" s="7" t="s">
        <v>370</v>
      </c>
      <c r="F15" s="17" t="s">
        <v>361</v>
      </c>
    </row>
    <row r="16" spans="2:7" x14ac:dyDescent="0.35">
      <c r="B16" s="16">
        <v>14</v>
      </c>
      <c r="C16" s="10" t="s">
        <v>371</v>
      </c>
      <c r="D16" s="10" t="s">
        <v>372</v>
      </c>
      <c r="E16" s="10" t="s">
        <v>373</v>
      </c>
      <c r="F16" s="17" t="s">
        <v>361</v>
      </c>
    </row>
    <row r="17" spans="2:7" x14ac:dyDescent="0.35">
      <c r="B17" s="14">
        <v>15</v>
      </c>
      <c r="C17" s="7" t="s">
        <v>171</v>
      </c>
      <c r="D17" s="7" t="s">
        <v>374</v>
      </c>
      <c r="E17" s="7" t="s">
        <v>375</v>
      </c>
      <c r="F17" s="15" t="s">
        <v>376</v>
      </c>
      <c r="G17" s="7" t="s">
        <v>364</v>
      </c>
    </row>
    <row r="18" spans="2:7" x14ac:dyDescent="0.35">
      <c r="B18" s="16">
        <v>16</v>
      </c>
      <c r="C18" s="95" t="s">
        <v>299</v>
      </c>
      <c r="D18" s="10" t="s">
        <v>377</v>
      </c>
      <c r="E18" s="10" t="s">
        <v>378</v>
      </c>
      <c r="F18" s="17" t="s">
        <v>379</v>
      </c>
      <c r="G18" s="10" t="s">
        <v>364</v>
      </c>
    </row>
    <row r="19" spans="2:7" x14ac:dyDescent="0.35">
      <c r="B19" s="14">
        <v>17</v>
      </c>
      <c r="C19" s="95" t="s">
        <v>380</v>
      </c>
      <c r="D19" s="7" t="s">
        <v>333</v>
      </c>
      <c r="E19" s="7" t="s">
        <v>381</v>
      </c>
      <c r="F19" s="15" t="s">
        <v>382</v>
      </c>
    </row>
    <row r="20" spans="2:7" x14ac:dyDescent="0.35">
      <c r="B20" s="16">
        <v>18</v>
      </c>
      <c r="C20" s="95" t="s">
        <v>383</v>
      </c>
      <c r="D20" s="10" t="s">
        <v>384</v>
      </c>
      <c r="E20" s="10" t="s">
        <v>385</v>
      </c>
      <c r="F20" s="17" t="s">
        <v>348</v>
      </c>
      <c r="G20" s="10" t="s">
        <v>386</v>
      </c>
    </row>
    <row r="21" spans="2:7" x14ac:dyDescent="0.35">
      <c r="B21" s="14">
        <v>19</v>
      </c>
      <c r="C21" s="95" t="s">
        <v>387</v>
      </c>
      <c r="D21" s="7" t="s">
        <v>388</v>
      </c>
      <c r="E21" s="7" t="s">
        <v>300</v>
      </c>
      <c r="F21" s="15" t="s">
        <v>348</v>
      </c>
      <c r="G21" s="10" t="s">
        <v>386</v>
      </c>
    </row>
    <row r="22" spans="2:7" x14ac:dyDescent="0.35">
      <c r="B22" s="16">
        <v>20</v>
      </c>
      <c r="C22" s="95" t="s">
        <v>389</v>
      </c>
      <c r="D22" s="10" t="s">
        <v>390</v>
      </c>
      <c r="E22" s="10" t="s">
        <v>301</v>
      </c>
      <c r="F22" s="17" t="s">
        <v>361</v>
      </c>
    </row>
    <row r="23" spans="2:7" x14ac:dyDescent="0.35">
      <c r="B23" s="14">
        <v>21</v>
      </c>
      <c r="C23" s="95" t="s">
        <v>391</v>
      </c>
      <c r="D23" s="7" t="s">
        <v>392</v>
      </c>
      <c r="E23" s="7" t="s">
        <v>393</v>
      </c>
      <c r="F23" s="15" t="s">
        <v>348</v>
      </c>
      <c r="G23" s="10" t="s">
        <v>386</v>
      </c>
    </row>
    <row r="24" spans="2:7" x14ac:dyDescent="0.35">
      <c r="B24" s="16">
        <v>22</v>
      </c>
      <c r="C24" s="95" t="s">
        <v>394</v>
      </c>
      <c r="D24" s="10" t="s">
        <v>35</v>
      </c>
      <c r="E24" s="10" t="s">
        <v>395</v>
      </c>
      <c r="F24" s="17" t="s">
        <v>348</v>
      </c>
      <c r="G24" s="10" t="s">
        <v>386</v>
      </c>
    </row>
    <row r="25" spans="2:7" x14ac:dyDescent="0.35">
      <c r="B25" s="14">
        <v>23</v>
      </c>
      <c r="C25" s="96" t="s">
        <v>396</v>
      </c>
      <c r="D25" s="7" t="s">
        <v>397</v>
      </c>
      <c r="E25" s="7" t="s">
        <v>302</v>
      </c>
      <c r="F25" s="15" t="s">
        <v>348</v>
      </c>
      <c r="G25" s="10" t="s">
        <v>386</v>
      </c>
    </row>
    <row r="26" spans="2:7" x14ac:dyDescent="0.35">
      <c r="B26" s="16">
        <v>24</v>
      </c>
      <c r="C26" s="95" t="s">
        <v>398</v>
      </c>
      <c r="D26" s="10" t="s">
        <v>399</v>
      </c>
      <c r="E26" s="10" t="s">
        <v>400</v>
      </c>
      <c r="F26" s="17" t="s">
        <v>348</v>
      </c>
      <c r="G26" s="10" t="s">
        <v>386</v>
      </c>
    </row>
    <row r="27" spans="2:7" x14ac:dyDescent="0.35">
      <c r="B27" s="14">
        <v>25</v>
      </c>
      <c r="C27" s="95" t="s">
        <v>401</v>
      </c>
      <c r="D27" s="7" t="s">
        <v>402</v>
      </c>
      <c r="E27" s="7" t="s">
        <v>303</v>
      </c>
      <c r="F27" s="15" t="s">
        <v>348</v>
      </c>
      <c r="G27" s="10" t="s">
        <v>386</v>
      </c>
    </row>
    <row r="28" spans="2:7" x14ac:dyDescent="0.35">
      <c r="B28" s="16">
        <v>26</v>
      </c>
      <c r="C28" s="95" t="s">
        <v>403</v>
      </c>
      <c r="D28" s="10" t="s">
        <v>404</v>
      </c>
      <c r="E28" s="10" t="s">
        <v>304</v>
      </c>
      <c r="F28" s="17" t="s">
        <v>348</v>
      </c>
      <c r="G28" s="10" t="s">
        <v>386</v>
      </c>
    </row>
    <row r="29" spans="2:7" x14ac:dyDescent="0.35">
      <c r="B29" s="14">
        <v>27</v>
      </c>
      <c r="C29" s="95" t="s">
        <v>405</v>
      </c>
      <c r="D29" s="7" t="s">
        <v>406</v>
      </c>
      <c r="E29" s="7" t="s">
        <v>407</v>
      </c>
      <c r="F29" s="15" t="s">
        <v>348</v>
      </c>
      <c r="G29" s="10" t="s">
        <v>386</v>
      </c>
    </row>
    <row r="30" spans="2:7" x14ac:dyDescent="0.35">
      <c r="B30" s="16">
        <v>28</v>
      </c>
      <c r="C30" s="96" t="s">
        <v>408</v>
      </c>
      <c r="D30" s="10" t="s">
        <v>409</v>
      </c>
      <c r="E30" s="10" t="s">
        <v>305</v>
      </c>
      <c r="F30" s="17" t="s">
        <v>348</v>
      </c>
      <c r="G30" s="10" t="s">
        <v>386</v>
      </c>
    </row>
    <row r="31" spans="2:7" x14ac:dyDescent="0.35">
      <c r="B31" s="14">
        <v>29</v>
      </c>
      <c r="C31" s="95" t="s">
        <v>410</v>
      </c>
      <c r="D31" s="7" t="s">
        <v>411</v>
      </c>
      <c r="E31" s="7" t="s">
        <v>412</v>
      </c>
      <c r="F31" s="15" t="s">
        <v>348</v>
      </c>
      <c r="G31" s="10" t="s">
        <v>386</v>
      </c>
    </row>
    <row r="32" spans="2:7" x14ac:dyDescent="0.35">
      <c r="B32" s="16">
        <v>30</v>
      </c>
      <c r="C32" s="95" t="s">
        <v>413</v>
      </c>
      <c r="D32" s="10" t="s">
        <v>414</v>
      </c>
      <c r="E32" s="10" t="s">
        <v>415</v>
      </c>
      <c r="F32" s="17" t="s">
        <v>348</v>
      </c>
      <c r="G32" s="10" t="s">
        <v>386</v>
      </c>
    </row>
    <row r="33" spans="2:7" x14ac:dyDescent="0.35">
      <c r="B33" s="14">
        <v>31</v>
      </c>
      <c r="C33" s="95" t="s">
        <v>416</v>
      </c>
      <c r="D33" s="7" t="s">
        <v>417</v>
      </c>
      <c r="E33" s="7" t="s">
        <v>418</v>
      </c>
      <c r="F33" s="15" t="s">
        <v>348</v>
      </c>
      <c r="G33" s="10" t="s">
        <v>386</v>
      </c>
    </row>
    <row r="34" spans="2:7" x14ac:dyDescent="0.35">
      <c r="B34" s="16">
        <v>32</v>
      </c>
      <c r="C34" s="7" t="s">
        <v>419</v>
      </c>
      <c r="D34" s="10" t="s">
        <v>420</v>
      </c>
      <c r="E34" s="10" t="s">
        <v>421</v>
      </c>
      <c r="F34" s="17" t="s">
        <v>348</v>
      </c>
      <c r="G34" s="10" t="s">
        <v>422</v>
      </c>
    </row>
    <row r="35" spans="2:7" x14ac:dyDescent="0.35">
      <c r="B35" s="14">
        <v>33</v>
      </c>
      <c r="C35" s="95" t="s">
        <v>423</v>
      </c>
      <c r="D35" s="7" t="s">
        <v>424</v>
      </c>
      <c r="E35" s="7" t="s">
        <v>425</v>
      </c>
      <c r="F35" s="15" t="s">
        <v>348</v>
      </c>
      <c r="G35" s="7" t="s">
        <v>422</v>
      </c>
    </row>
    <row r="36" spans="2:7" x14ac:dyDescent="0.35">
      <c r="B36" s="16">
        <v>34</v>
      </c>
      <c r="C36" s="96" t="s">
        <v>426</v>
      </c>
      <c r="D36" s="10" t="s">
        <v>427</v>
      </c>
      <c r="E36" s="10" t="s">
        <v>428</v>
      </c>
      <c r="F36" s="17" t="s">
        <v>348</v>
      </c>
      <c r="G36" s="10" t="s">
        <v>386</v>
      </c>
    </row>
    <row r="37" spans="2:7" x14ac:dyDescent="0.35">
      <c r="B37" s="16">
        <v>35</v>
      </c>
      <c r="C37" s="95" t="s">
        <v>429</v>
      </c>
      <c r="D37" s="10" t="s">
        <v>430</v>
      </c>
      <c r="E37" s="10" t="s">
        <v>431</v>
      </c>
      <c r="F37" s="17" t="s">
        <v>361</v>
      </c>
    </row>
    <row r="38" spans="2:7" x14ac:dyDescent="0.35">
      <c r="B38" s="18">
        <v>36</v>
      </c>
      <c r="C38" s="97" t="s">
        <v>432</v>
      </c>
      <c r="D38" s="19" t="s">
        <v>433</v>
      </c>
      <c r="E38" s="19" t="s">
        <v>434</v>
      </c>
      <c r="F38" s="20" t="s">
        <v>361</v>
      </c>
    </row>
    <row r="39" spans="2:7" x14ac:dyDescent="0.35">
      <c r="B39" s="24"/>
      <c r="C39" s="25"/>
      <c r="D39" s="25"/>
      <c r="E39" s="25"/>
      <c r="F39" s="26"/>
    </row>
    <row r="40" spans="2:7" x14ac:dyDescent="0.35">
      <c r="B40" s="24"/>
      <c r="C40" s="25"/>
      <c r="D40" s="25"/>
      <c r="E40" s="25"/>
      <c r="F40" s="26"/>
    </row>
    <row r="41" spans="2:7" x14ac:dyDescent="0.35">
      <c r="B41" s="24"/>
      <c r="C41" s="25"/>
      <c r="D41" s="25"/>
      <c r="E41" s="25"/>
      <c r="F41" s="26"/>
    </row>
    <row r="42" spans="2:7" x14ac:dyDescent="0.35">
      <c r="B42" s="24"/>
      <c r="C42" s="25"/>
      <c r="D42" s="25"/>
      <c r="E42" s="25"/>
      <c r="F42" s="26"/>
    </row>
    <row r="43" spans="2:7" x14ac:dyDescent="0.35">
      <c r="B43" t="s">
        <v>435</v>
      </c>
    </row>
    <row r="44" spans="2:7" x14ac:dyDescent="0.35">
      <c r="B44" s="21" t="s">
        <v>328</v>
      </c>
      <c r="C44" s="21" t="s">
        <v>329</v>
      </c>
      <c r="D44" s="21" t="s">
        <v>331</v>
      </c>
      <c r="E44" s="21" t="s">
        <v>332</v>
      </c>
      <c r="F44" s="21" t="s">
        <v>333</v>
      </c>
    </row>
    <row r="45" spans="2:7" x14ac:dyDescent="0.35">
      <c r="B45" s="21">
        <v>1</v>
      </c>
      <c r="C45" s="21" t="s">
        <v>335</v>
      </c>
      <c r="D45" s="22" t="s">
        <v>436</v>
      </c>
      <c r="E45" s="23"/>
      <c r="F45" s="21"/>
    </row>
    <row r="46" spans="2:7" x14ac:dyDescent="0.35">
      <c r="B46" s="21">
        <v>2</v>
      </c>
      <c r="C46" s="21" t="s">
        <v>31</v>
      </c>
      <c r="D46" s="22" t="s">
        <v>362</v>
      </c>
      <c r="E46" s="23"/>
      <c r="F46" s="21"/>
    </row>
    <row r="47" spans="2:7" x14ac:dyDescent="0.35">
      <c r="B47" s="21">
        <v>3</v>
      </c>
      <c r="C47" s="21" t="s">
        <v>30</v>
      </c>
      <c r="D47" s="22" t="s">
        <v>365</v>
      </c>
      <c r="E47" s="23"/>
      <c r="F47" s="21"/>
    </row>
    <row r="48" spans="2:7" x14ac:dyDescent="0.35">
      <c r="B48" s="21">
        <v>4</v>
      </c>
      <c r="C48" s="21" t="s">
        <v>366</v>
      </c>
      <c r="D48" s="22" t="s">
        <v>437</v>
      </c>
      <c r="E48" s="23"/>
      <c r="F48" s="21"/>
    </row>
    <row r="49" spans="2:6" x14ac:dyDescent="0.35">
      <c r="B49" s="21">
        <v>5</v>
      </c>
      <c r="C49" s="21" t="s">
        <v>369</v>
      </c>
      <c r="D49" s="22" t="s">
        <v>370</v>
      </c>
      <c r="E49" s="23" t="s">
        <v>361</v>
      </c>
      <c r="F49" s="21"/>
    </row>
    <row r="50" spans="2:6" x14ac:dyDescent="0.35">
      <c r="B50" s="21">
        <v>6</v>
      </c>
      <c r="C50" s="21" t="s">
        <v>346</v>
      </c>
      <c r="D50" s="22" t="s">
        <v>347</v>
      </c>
      <c r="E50" s="23" t="s">
        <v>348</v>
      </c>
      <c r="F50" s="21"/>
    </row>
    <row r="51" spans="2:6" x14ac:dyDescent="0.35">
      <c r="B51" s="21">
        <v>7</v>
      </c>
      <c r="C51" s="21" t="s">
        <v>349</v>
      </c>
      <c r="D51" s="22" t="s">
        <v>350</v>
      </c>
      <c r="E51" s="23" t="s">
        <v>351</v>
      </c>
      <c r="F51" s="21"/>
    </row>
    <row r="52" spans="2:6" x14ac:dyDescent="0.35">
      <c r="B52" s="21">
        <v>8</v>
      </c>
      <c r="C52" s="21" t="s">
        <v>352</v>
      </c>
      <c r="D52" s="22" t="s">
        <v>353</v>
      </c>
      <c r="E52" s="23" t="s">
        <v>351</v>
      </c>
      <c r="F52" s="21"/>
    </row>
    <row r="53" spans="2:6" x14ac:dyDescent="0.35">
      <c r="B53" s="21">
        <v>9</v>
      </c>
      <c r="C53" s="21" t="s">
        <v>354</v>
      </c>
      <c r="D53" s="22" t="s">
        <v>355</v>
      </c>
      <c r="E53" s="23" t="s">
        <v>351</v>
      </c>
      <c r="F53" s="21"/>
    </row>
    <row r="54" spans="2:6" x14ac:dyDescent="0.35">
      <c r="B54" s="21">
        <v>10</v>
      </c>
      <c r="C54" s="21" t="s">
        <v>356</v>
      </c>
      <c r="D54" s="22" t="s">
        <v>357</v>
      </c>
      <c r="E54" s="23" t="s">
        <v>351</v>
      </c>
      <c r="F54" s="21"/>
    </row>
    <row r="55" spans="2:6" x14ac:dyDescent="0.35">
      <c r="B55" s="21">
        <v>11</v>
      </c>
      <c r="C55" s="21" t="s">
        <v>438</v>
      </c>
      <c r="D55" s="22" t="s">
        <v>439</v>
      </c>
      <c r="E55" s="23" t="s">
        <v>440</v>
      </c>
      <c r="F55" s="21" t="s">
        <v>386</v>
      </c>
    </row>
    <row r="56" spans="2:6" x14ac:dyDescent="0.35">
      <c r="B56" s="21">
        <v>12</v>
      </c>
      <c r="C56" s="21" t="s">
        <v>441</v>
      </c>
      <c r="D56" s="22" t="s">
        <v>442</v>
      </c>
      <c r="E56" s="23" t="s">
        <v>440</v>
      </c>
      <c r="F56" s="21" t="s">
        <v>386</v>
      </c>
    </row>
    <row r="57" spans="2:6" x14ac:dyDescent="0.35">
      <c r="B57" s="21">
        <v>13</v>
      </c>
      <c r="C57" s="21" t="s">
        <v>333</v>
      </c>
      <c r="D57" s="22" t="s">
        <v>381</v>
      </c>
      <c r="E57" s="15" t="s">
        <v>382</v>
      </c>
      <c r="F57" s="21" t="s">
        <v>364</v>
      </c>
    </row>
  </sheetData>
  <pageMargins left="0.7" right="0.7" top="0.75" bottom="0.75" header="0.3" footer="0.3"/>
  <headerFooter>
    <oddFooter>&amp;C_x000D_&amp;1#&amp;"Calibri"&amp;8&amp;K000000 INTERNAL. This information is accessible to ADB Management and staff. It may be shared outside ADB with appropriate permission.</oddFooter>
  </headerFooter>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D5815-D1E2-4433-895F-7EDCC7F07D17}">
  <dimension ref="B1:D232"/>
  <sheetViews>
    <sheetView workbookViewId="0">
      <selection activeCell="A97" sqref="A97"/>
    </sheetView>
  </sheetViews>
  <sheetFormatPr defaultRowHeight="14.5" x14ac:dyDescent="0.35"/>
  <cols>
    <col min="2" max="2" width="4" bestFit="1" customWidth="1"/>
    <col min="3" max="3" width="45.08984375" bestFit="1" customWidth="1"/>
    <col min="4" max="4" width="69.1796875" bestFit="1" customWidth="1"/>
  </cols>
  <sheetData>
    <row r="1" spans="2:4" ht="15" thickBot="1" x14ac:dyDescent="0.4"/>
    <row r="2" spans="2:4" x14ac:dyDescent="0.35">
      <c r="B2" s="744" t="s">
        <v>341</v>
      </c>
      <c r="C2" s="745"/>
      <c r="D2" s="746"/>
    </row>
    <row r="3" spans="2:4" ht="15" thickBot="1" x14ac:dyDescent="0.4">
      <c r="B3" s="98" t="s">
        <v>443</v>
      </c>
      <c r="C3" s="99" t="s">
        <v>463</v>
      </c>
      <c r="D3" s="100" t="s">
        <v>332</v>
      </c>
    </row>
    <row r="4" spans="2:4" ht="15" thickTop="1" x14ac:dyDescent="0.35">
      <c r="B4" s="116">
        <v>0</v>
      </c>
      <c r="C4" s="117" t="s">
        <v>491</v>
      </c>
      <c r="D4" s="118" t="s">
        <v>492</v>
      </c>
    </row>
    <row r="5" spans="2:4" x14ac:dyDescent="0.35">
      <c r="B5" s="111">
        <v>11</v>
      </c>
      <c r="C5" s="89" t="s">
        <v>493</v>
      </c>
      <c r="D5" s="113" t="s">
        <v>494</v>
      </c>
    </row>
    <row r="6" spans="2:4" x14ac:dyDescent="0.35">
      <c r="B6" s="111">
        <v>12</v>
      </c>
      <c r="C6" s="89" t="s">
        <v>495</v>
      </c>
      <c r="D6" s="113" t="s">
        <v>496</v>
      </c>
    </row>
    <row r="7" spans="2:4" x14ac:dyDescent="0.35">
      <c r="B7" s="111">
        <v>14</v>
      </c>
      <c r="C7" s="89" t="s">
        <v>497</v>
      </c>
      <c r="D7" s="119" t="s">
        <v>498</v>
      </c>
    </row>
    <row r="8" spans="2:4" x14ac:dyDescent="0.35">
      <c r="B8" s="111">
        <v>15</v>
      </c>
      <c r="C8" s="89" t="s">
        <v>499</v>
      </c>
      <c r="D8" s="119" t="s">
        <v>500</v>
      </c>
    </row>
    <row r="9" spans="2:4" x14ac:dyDescent="0.35">
      <c r="B9" s="111">
        <v>21</v>
      </c>
      <c r="C9" s="89" t="s">
        <v>501</v>
      </c>
      <c r="D9" s="113" t="s">
        <v>502</v>
      </c>
    </row>
    <row r="10" spans="2:4" x14ac:dyDescent="0.35">
      <c r="B10" s="111">
        <v>31</v>
      </c>
      <c r="C10" s="89" t="s">
        <v>503</v>
      </c>
      <c r="D10" s="113" t="s">
        <v>504</v>
      </c>
    </row>
    <row r="11" spans="2:4" x14ac:dyDescent="0.35">
      <c r="B11" s="111">
        <v>41</v>
      </c>
      <c r="C11" s="89" t="s">
        <v>505</v>
      </c>
      <c r="D11" s="113" t="s">
        <v>506</v>
      </c>
    </row>
    <row r="12" spans="2:4" x14ac:dyDescent="0.35">
      <c r="B12" s="111">
        <v>42</v>
      </c>
      <c r="C12" s="89" t="s">
        <v>507</v>
      </c>
      <c r="D12" s="113" t="s">
        <v>508</v>
      </c>
    </row>
    <row r="13" spans="2:4" x14ac:dyDescent="0.35">
      <c r="B13" s="111">
        <v>43</v>
      </c>
      <c r="C13" s="89" t="s">
        <v>509</v>
      </c>
      <c r="D13" s="113" t="s">
        <v>510</v>
      </c>
    </row>
    <row r="14" spans="2:4" x14ac:dyDescent="0.35">
      <c r="B14" s="111">
        <v>44</v>
      </c>
      <c r="C14" s="89" t="s">
        <v>511</v>
      </c>
      <c r="D14" s="113" t="s">
        <v>512</v>
      </c>
    </row>
    <row r="15" spans="2:4" x14ac:dyDescent="0.35">
      <c r="B15" s="111">
        <v>45</v>
      </c>
      <c r="C15" s="89" t="s">
        <v>513</v>
      </c>
      <c r="D15" s="113" t="s">
        <v>514</v>
      </c>
    </row>
    <row r="16" spans="2:4" x14ac:dyDescent="0.35">
      <c r="B16" s="111">
        <v>46</v>
      </c>
      <c r="C16" s="89" t="s">
        <v>515</v>
      </c>
      <c r="D16" s="113" t="s">
        <v>516</v>
      </c>
    </row>
    <row r="17" spans="2:4" x14ac:dyDescent="0.35">
      <c r="B17" s="111">
        <v>47</v>
      </c>
      <c r="C17" s="89" t="s">
        <v>517</v>
      </c>
      <c r="D17" s="113" t="s">
        <v>518</v>
      </c>
    </row>
    <row r="18" spans="2:4" x14ac:dyDescent="0.35">
      <c r="B18" s="111">
        <v>48</v>
      </c>
      <c r="C18" s="89" t="s">
        <v>519</v>
      </c>
      <c r="D18" s="113" t="s">
        <v>520</v>
      </c>
    </row>
    <row r="19" spans="2:4" x14ac:dyDescent="0.35">
      <c r="B19" s="111">
        <v>49</v>
      </c>
      <c r="C19" s="89" t="s">
        <v>521</v>
      </c>
      <c r="D19" s="113" t="s">
        <v>522</v>
      </c>
    </row>
    <row r="20" spans="2:4" x14ac:dyDescent="0.35">
      <c r="B20" s="111">
        <v>51</v>
      </c>
      <c r="C20" s="89" t="s">
        <v>523</v>
      </c>
      <c r="D20" s="113" t="s">
        <v>524</v>
      </c>
    </row>
    <row r="21" spans="2:4" x14ac:dyDescent="0.35">
      <c r="B21" s="111">
        <v>61</v>
      </c>
      <c r="C21" s="89" t="s">
        <v>525</v>
      </c>
      <c r="D21" s="113" t="s">
        <v>526</v>
      </c>
    </row>
    <row r="22" spans="2:4" x14ac:dyDescent="0.35">
      <c r="B22" s="111">
        <v>62</v>
      </c>
      <c r="C22" s="89" t="s">
        <v>527</v>
      </c>
      <c r="D22" s="113" t="s">
        <v>528</v>
      </c>
    </row>
    <row r="23" spans="2:4" x14ac:dyDescent="0.35">
      <c r="B23" s="111">
        <v>71</v>
      </c>
      <c r="C23" s="89" t="s">
        <v>529</v>
      </c>
      <c r="D23" s="113" t="s">
        <v>530</v>
      </c>
    </row>
    <row r="24" spans="2:4" ht="15" thickBot="1" x14ac:dyDescent="0.4">
      <c r="B24" s="114">
        <v>99</v>
      </c>
      <c r="C24" s="90" t="s">
        <v>531</v>
      </c>
      <c r="D24" s="115" t="s">
        <v>532</v>
      </c>
    </row>
    <row r="25" spans="2:4" x14ac:dyDescent="0.35">
      <c r="B25" s="9"/>
      <c r="C25" s="9"/>
      <c r="D25" s="9"/>
    </row>
    <row r="26" spans="2:4" ht="15" thickBot="1" x14ac:dyDescent="0.4"/>
    <row r="27" spans="2:4" x14ac:dyDescent="0.35">
      <c r="B27" s="744" t="s">
        <v>345</v>
      </c>
      <c r="C27" s="745"/>
      <c r="D27" s="746"/>
    </row>
    <row r="28" spans="2:4" ht="15" thickBot="1" x14ac:dyDescent="0.4">
      <c r="B28" s="98" t="s">
        <v>443</v>
      </c>
      <c r="C28" s="99" t="s">
        <v>463</v>
      </c>
      <c r="D28" s="100" t="s">
        <v>332</v>
      </c>
    </row>
    <row r="29" spans="2:4" ht="15" thickTop="1" x14ac:dyDescent="0.35">
      <c r="B29" s="110">
        <v>1</v>
      </c>
      <c r="C29" s="88" t="s">
        <v>464</v>
      </c>
      <c r="D29" s="103" t="s">
        <v>465</v>
      </c>
    </row>
    <row r="30" spans="2:4" x14ac:dyDescent="0.35">
      <c r="B30" s="111">
        <v>2</v>
      </c>
      <c r="C30" s="89" t="s">
        <v>466</v>
      </c>
      <c r="D30" s="112" t="s">
        <v>467</v>
      </c>
    </row>
    <row r="31" spans="2:4" x14ac:dyDescent="0.35">
      <c r="B31" s="111">
        <v>3</v>
      </c>
      <c r="C31" s="89" t="s">
        <v>468</v>
      </c>
      <c r="D31" s="112" t="s">
        <v>469</v>
      </c>
    </row>
    <row r="32" spans="2:4" x14ac:dyDescent="0.35">
      <c r="B32" s="111">
        <v>4</v>
      </c>
      <c r="C32" s="89" t="s">
        <v>470</v>
      </c>
      <c r="D32" s="112" t="s">
        <v>471</v>
      </c>
    </row>
    <row r="33" spans="2:4" x14ac:dyDescent="0.35">
      <c r="B33" s="111">
        <v>5</v>
      </c>
      <c r="C33" s="89" t="s">
        <v>472</v>
      </c>
      <c r="D33" s="112" t="s">
        <v>473</v>
      </c>
    </row>
    <row r="34" spans="2:4" x14ac:dyDescent="0.35">
      <c r="B34" s="111">
        <v>6</v>
      </c>
      <c r="C34" s="89" t="s">
        <v>474</v>
      </c>
      <c r="D34" s="112" t="s">
        <v>475</v>
      </c>
    </row>
    <row r="35" spans="2:4" x14ac:dyDescent="0.35">
      <c r="B35" s="111">
        <v>7</v>
      </c>
      <c r="C35" s="89" t="s">
        <v>476</v>
      </c>
      <c r="D35" s="112" t="s">
        <v>477</v>
      </c>
    </row>
    <row r="36" spans="2:4" x14ac:dyDescent="0.35">
      <c r="B36" s="111">
        <v>8</v>
      </c>
      <c r="C36" s="89" t="s">
        <v>478</v>
      </c>
      <c r="D36" s="112" t="s">
        <v>479</v>
      </c>
    </row>
    <row r="37" spans="2:4" x14ac:dyDescent="0.35">
      <c r="B37" s="111">
        <v>9</v>
      </c>
      <c r="C37" s="89" t="s">
        <v>480</v>
      </c>
      <c r="D37" s="112" t="s">
        <v>481</v>
      </c>
    </row>
    <row r="38" spans="2:4" x14ac:dyDescent="0.35">
      <c r="B38" s="111">
        <v>10</v>
      </c>
      <c r="C38" s="89" t="s">
        <v>22</v>
      </c>
      <c r="D38" s="112" t="s">
        <v>482</v>
      </c>
    </row>
    <row r="39" spans="2:4" x14ac:dyDescent="0.35">
      <c r="B39" s="111">
        <v>11</v>
      </c>
      <c r="C39" s="89" t="s">
        <v>28</v>
      </c>
      <c r="D39" s="112" t="s">
        <v>483</v>
      </c>
    </row>
    <row r="40" spans="2:4" x14ac:dyDescent="0.35">
      <c r="B40" s="111">
        <v>12</v>
      </c>
      <c r="C40" s="89" t="s">
        <v>484</v>
      </c>
      <c r="D40" s="112" t="s">
        <v>485</v>
      </c>
    </row>
    <row r="41" spans="2:4" x14ac:dyDescent="0.35">
      <c r="B41" s="111">
        <v>13</v>
      </c>
      <c r="C41" s="89" t="s">
        <v>486</v>
      </c>
      <c r="D41" s="113" t="s">
        <v>487</v>
      </c>
    </row>
    <row r="42" spans="2:4" x14ac:dyDescent="0.35">
      <c r="B42" s="111">
        <v>14</v>
      </c>
      <c r="C42" s="89" t="s">
        <v>488</v>
      </c>
      <c r="D42" s="113" t="s">
        <v>489</v>
      </c>
    </row>
    <row r="43" spans="2:4" ht="15" thickBot="1" x14ac:dyDescent="0.4">
      <c r="B43" s="114">
        <v>15</v>
      </c>
      <c r="C43" s="90" t="s">
        <v>490</v>
      </c>
      <c r="D43" s="115" t="s">
        <v>533</v>
      </c>
    </row>
    <row r="44" spans="2:4" x14ac:dyDescent="0.35">
      <c r="B44" s="9"/>
      <c r="C44" s="9"/>
      <c r="D44" s="9"/>
    </row>
    <row r="45" spans="2:4" ht="15" thickBot="1" x14ac:dyDescent="0.4">
      <c r="B45" s="9"/>
      <c r="C45" s="9"/>
      <c r="D45" s="9"/>
    </row>
    <row r="46" spans="2:4" x14ac:dyDescent="0.35">
      <c r="B46" s="744" t="s">
        <v>368</v>
      </c>
      <c r="C46" s="745"/>
      <c r="D46" s="746"/>
    </row>
    <row r="47" spans="2:4" ht="15" thickBot="1" x14ac:dyDescent="0.4">
      <c r="B47" s="98" t="s">
        <v>443</v>
      </c>
      <c r="C47" s="99" t="s">
        <v>444</v>
      </c>
      <c r="D47" s="100" t="s">
        <v>332</v>
      </c>
    </row>
    <row r="48" spans="2:4" ht="15" thickTop="1" x14ac:dyDescent="0.35">
      <c r="B48" s="101">
        <v>0</v>
      </c>
      <c r="C48" s="102" t="s">
        <v>117</v>
      </c>
      <c r="D48" s="103" t="s">
        <v>445</v>
      </c>
    </row>
    <row r="49" spans="2:4" x14ac:dyDescent="0.35">
      <c r="B49" s="104">
        <v>1</v>
      </c>
      <c r="C49" s="105" t="s">
        <v>446</v>
      </c>
      <c r="D49" s="106" t="s">
        <v>447</v>
      </c>
    </row>
    <row r="50" spans="2:4" x14ac:dyDescent="0.35">
      <c r="B50" s="104">
        <v>2</v>
      </c>
      <c r="C50" s="105" t="s">
        <v>448</v>
      </c>
      <c r="D50" s="106" t="s">
        <v>449</v>
      </c>
    </row>
    <row r="51" spans="2:4" x14ac:dyDescent="0.35">
      <c r="B51" s="104">
        <v>3</v>
      </c>
      <c r="C51" s="105" t="s">
        <v>63</v>
      </c>
      <c r="D51" s="106" t="s">
        <v>450</v>
      </c>
    </row>
    <row r="52" spans="2:4" x14ac:dyDescent="0.35">
      <c r="B52" s="104">
        <v>4</v>
      </c>
      <c r="C52" s="105" t="s">
        <v>451</v>
      </c>
      <c r="D52" s="106" t="s">
        <v>452</v>
      </c>
    </row>
    <row r="53" spans="2:4" x14ac:dyDescent="0.35">
      <c r="B53" s="104">
        <v>5</v>
      </c>
      <c r="C53" s="105" t="s">
        <v>453</v>
      </c>
      <c r="D53" s="106" t="s">
        <v>454</v>
      </c>
    </row>
    <row r="54" spans="2:4" x14ac:dyDescent="0.35">
      <c r="B54" s="104">
        <v>6</v>
      </c>
      <c r="C54" s="105" t="s">
        <v>455</v>
      </c>
      <c r="D54" s="106" t="s">
        <v>456</v>
      </c>
    </row>
    <row r="55" spans="2:4" x14ac:dyDescent="0.35">
      <c r="B55" s="104">
        <v>7</v>
      </c>
      <c r="C55" s="105" t="s">
        <v>457</v>
      </c>
      <c r="D55" s="106" t="s">
        <v>458</v>
      </c>
    </row>
    <row r="56" spans="2:4" x14ac:dyDescent="0.35">
      <c r="B56" s="104">
        <v>8</v>
      </c>
      <c r="C56" s="105" t="s">
        <v>459</v>
      </c>
      <c r="D56" s="106" t="s">
        <v>460</v>
      </c>
    </row>
    <row r="57" spans="2:4" ht="15" thickBot="1" x14ac:dyDescent="0.4">
      <c r="B57" s="107">
        <v>9</v>
      </c>
      <c r="C57" s="108" t="s">
        <v>461</v>
      </c>
      <c r="D57" s="109" t="s">
        <v>462</v>
      </c>
    </row>
    <row r="58" spans="2:4" x14ac:dyDescent="0.35">
      <c r="B58" s="9"/>
      <c r="C58" s="9"/>
      <c r="D58" s="9"/>
    </row>
    <row r="59" spans="2:4" ht="15" thickBot="1" x14ac:dyDescent="0.4">
      <c r="B59" s="9"/>
      <c r="C59" s="9"/>
      <c r="D59" s="9"/>
    </row>
    <row r="60" spans="2:4" x14ac:dyDescent="0.35">
      <c r="B60" s="744" t="s">
        <v>383</v>
      </c>
      <c r="C60" s="745"/>
      <c r="D60" s="746"/>
    </row>
    <row r="61" spans="2:4" ht="15" thickBot="1" x14ac:dyDescent="0.4">
      <c r="B61" s="98" t="s">
        <v>443</v>
      </c>
      <c r="C61" s="99" t="s">
        <v>463</v>
      </c>
      <c r="D61" s="100" t="s">
        <v>534</v>
      </c>
    </row>
    <row r="62" spans="2:4" ht="15" thickTop="1" x14ac:dyDescent="0.35">
      <c r="B62" s="110">
        <v>11</v>
      </c>
      <c r="C62" s="88" t="s">
        <v>535</v>
      </c>
      <c r="D62" s="119" t="s">
        <v>536</v>
      </c>
    </row>
    <row r="63" spans="2:4" x14ac:dyDescent="0.35">
      <c r="B63" s="111">
        <v>12</v>
      </c>
      <c r="C63" s="89" t="s">
        <v>537</v>
      </c>
      <c r="D63" s="113" t="s">
        <v>538</v>
      </c>
    </row>
    <row r="64" spans="2:4" x14ac:dyDescent="0.35">
      <c r="B64" s="111">
        <v>18</v>
      </c>
      <c r="C64" s="89" t="s">
        <v>539</v>
      </c>
      <c r="D64" s="113" t="s">
        <v>540</v>
      </c>
    </row>
    <row r="65" spans="2:4" x14ac:dyDescent="0.35">
      <c r="B65" s="111">
        <v>21</v>
      </c>
      <c r="C65" s="89" t="s">
        <v>541</v>
      </c>
      <c r="D65" s="113" t="s">
        <v>542</v>
      </c>
    </row>
    <row r="66" spans="2:4" x14ac:dyDescent="0.35">
      <c r="B66" s="111">
        <v>22</v>
      </c>
      <c r="C66" s="89" t="s">
        <v>543</v>
      </c>
      <c r="D66" s="113" t="s">
        <v>544</v>
      </c>
    </row>
    <row r="67" spans="2:4" x14ac:dyDescent="0.35">
      <c r="B67" s="111">
        <v>23</v>
      </c>
      <c r="C67" s="89" t="s">
        <v>545</v>
      </c>
      <c r="D67" s="113" t="s">
        <v>546</v>
      </c>
    </row>
    <row r="68" spans="2:4" x14ac:dyDescent="0.35">
      <c r="B68" s="111">
        <v>28</v>
      </c>
      <c r="C68" s="89" t="s">
        <v>547</v>
      </c>
      <c r="D68" s="113" t="s">
        <v>548</v>
      </c>
    </row>
    <row r="69" spans="2:4" x14ac:dyDescent="0.35">
      <c r="B69" s="111">
        <v>31</v>
      </c>
      <c r="C69" s="89" t="s">
        <v>549</v>
      </c>
      <c r="D69" s="113" t="s">
        <v>550</v>
      </c>
    </row>
    <row r="70" spans="2:4" x14ac:dyDescent="0.35">
      <c r="B70" s="111">
        <v>32</v>
      </c>
      <c r="C70" s="89" t="s">
        <v>551</v>
      </c>
      <c r="D70" s="113" t="s">
        <v>552</v>
      </c>
    </row>
    <row r="71" spans="2:4" x14ac:dyDescent="0.35">
      <c r="B71" s="111">
        <v>33</v>
      </c>
      <c r="C71" s="89" t="s">
        <v>553</v>
      </c>
      <c r="D71" s="113" t="s">
        <v>554</v>
      </c>
    </row>
    <row r="72" spans="2:4" ht="29" x14ac:dyDescent="0.35">
      <c r="B72" s="111">
        <v>41</v>
      </c>
      <c r="C72" s="89" t="s">
        <v>555</v>
      </c>
      <c r="D72" s="113" t="s">
        <v>556</v>
      </c>
    </row>
    <row r="73" spans="2:4" x14ac:dyDescent="0.35">
      <c r="B73" s="111">
        <v>42</v>
      </c>
      <c r="C73" s="89" t="s">
        <v>557</v>
      </c>
      <c r="D73" s="113" t="s">
        <v>558</v>
      </c>
    </row>
    <row r="74" spans="2:4" x14ac:dyDescent="0.35">
      <c r="B74" s="111">
        <v>43</v>
      </c>
      <c r="C74" s="89" t="s">
        <v>559</v>
      </c>
      <c r="D74" s="113" t="s">
        <v>560</v>
      </c>
    </row>
    <row r="75" spans="2:4" x14ac:dyDescent="0.35">
      <c r="B75" s="111">
        <v>44</v>
      </c>
      <c r="C75" s="89" t="s">
        <v>561</v>
      </c>
      <c r="D75" s="113" t="s">
        <v>562</v>
      </c>
    </row>
    <row r="76" spans="2:4" x14ac:dyDescent="0.35">
      <c r="B76" s="111">
        <v>45</v>
      </c>
      <c r="C76" s="89" t="s">
        <v>563</v>
      </c>
      <c r="D76" s="113" t="s">
        <v>564</v>
      </c>
    </row>
    <row r="77" spans="2:4" x14ac:dyDescent="0.35">
      <c r="B77" s="111">
        <v>47</v>
      </c>
      <c r="C77" s="89" t="s">
        <v>565</v>
      </c>
      <c r="D77" s="113" t="s">
        <v>566</v>
      </c>
    </row>
    <row r="78" spans="2:4" ht="29" x14ac:dyDescent="0.35">
      <c r="B78" s="111">
        <v>48</v>
      </c>
      <c r="C78" s="89" t="s">
        <v>567</v>
      </c>
      <c r="D78" s="113" t="s">
        <v>568</v>
      </c>
    </row>
    <row r="79" spans="2:4" ht="29" x14ac:dyDescent="0.35">
      <c r="B79" s="111">
        <v>98</v>
      </c>
      <c r="C79" s="89" t="s">
        <v>569</v>
      </c>
      <c r="D79" s="113" t="s">
        <v>570</v>
      </c>
    </row>
    <row r="80" spans="2:4" x14ac:dyDescent="0.35">
      <c r="B80" s="111">
        <v>99</v>
      </c>
      <c r="C80" s="89" t="s">
        <v>571</v>
      </c>
      <c r="D80" s="113" t="s">
        <v>572</v>
      </c>
    </row>
    <row r="81" spans="2:4" ht="15" thickBot="1" x14ac:dyDescent="0.4">
      <c r="B81" s="114">
        <v>999</v>
      </c>
      <c r="C81" s="90" t="s">
        <v>61</v>
      </c>
      <c r="D81" s="115" t="s">
        <v>573</v>
      </c>
    </row>
    <row r="82" spans="2:4" x14ac:dyDescent="0.35">
      <c r="B82" s="9"/>
      <c r="C82" s="9"/>
      <c r="D82" s="9"/>
    </row>
    <row r="83" spans="2:4" ht="15" thickBot="1" x14ac:dyDescent="0.4">
      <c r="B83" s="9"/>
      <c r="C83" s="9"/>
      <c r="D83" s="9"/>
    </row>
    <row r="84" spans="2:4" x14ac:dyDescent="0.35">
      <c r="B84" s="744" t="s">
        <v>387</v>
      </c>
      <c r="C84" s="745"/>
      <c r="D84" s="746"/>
    </row>
    <row r="85" spans="2:4" ht="15" thickBot="1" x14ac:dyDescent="0.4">
      <c r="B85" s="98" t="s">
        <v>443</v>
      </c>
      <c r="C85" s="99" t="s">
        <v>463</v>
      </c>
      <c r="D85" s="100" t="s">
        <v>534</v>
      </c>
    </row>
    <row r="86" spans="2:4" ht="15" thickTop="1" x14ac:dyDescent="0.35">
      <c r="B86" s="110">
        <v>111</v>
      </c>
      <c r="C86" s="88" t="s">
        <v>271</v>
      </c>
      <c r="D86" s="119" t="s">
        <v>574</v>
      </c>
    </row>
    <row r="87" spans="2:4" x14ac:dyDescent="0.35">
      <c r="B87" s="111">
        <v>121</v>
      </c>
      <c r="C87" s="89" t="s">
        <v>272</v>
      </c>
      <c r="D87" s="113" t="s">
        <v>575</v>
      </c>
    </row>
    <row r="88" spans="2:4" ht="29" x14ac:dyDescent="0.35">
      <c r="B88" s="111">
        <v>122</v>
      </c>
      <c r="C88" s="89" t="s">
        <v>273</v>
      </c>
      <c r="D88" s="113" t="s">
        <v>576</v>
      </c>
    </row>
    <row r="89" spans="2:4" ht="29" x14ac:dyDescent="0.35">
      <c r="B89" s="111">
        <v>211</v>
      </c>
      <c r="C89" s="89" t="s">
        <v>274</v>
      </c>
      <c r="D89" s="113" t="s">
        <v>577</v>
      </c>
    </row>
    <row r="90" spans="2:4" ht="29" x14ac:dyDescent="0.35">
      <c r="B90" s="111">
        <v>221</v>
      </c>
      <c r="C90" s="89" t="s">
        <v>275</v>
      </c>
      <c r="D90" s="113" t="s">
        <v>578</v>
      </c>
    </row>
    <row r="91" spans="2:4" ht="29" x14ac:dyDescent="0.35">
      <c r="B91" s="111">
        <v>311</v>
      </c>
      <c r="C91" s="89" t="s">
        <v>276</v>
      </c>
      <c r="D91" s="113" t="s">
        <v>579</v>
      </c>
    </row>
    <row r="92" spans="2:4" ht="29" x14ac:dyDescent="0.35">
      <c r="B92" s="111">
        <v>321</v>
      </c>
      <c r="C92" s="89" t="s">
        <v>277</v>
      </c>
      <c r="D92" s="113" t="s">
        <v>580</v>
      </c>
    </row>
    <row r="93" spans="2:4" x14ac:dyDescent="0.35">
      <c r="B93" s="111">
        <v>411</v>
      </c>
      <c r="C93" s="89" t="s">
        <v>278</v>
      </c>
      <c r="D93" s="113" t="s">
        <v>581</v>
      </c>
    </row>
    <row r="94" spans="2:4" x14ac:dyDescent="0.35">
      <c r="B94" s="111">
        <v>421</v>
      </c>
      <c r="C94" s="89" t="s">
        <v>279</v>
      </c>
      <c r="D94" s="113" t="s">
        <v>582</v>
      </c>
    </row>
    <row r="95" spans="2:4" ht="29" x14ac:dyDescent="0.35">
      <c r="B95" s="111">
        <v>511</v>
      </c>
      <c r="C95" s="89" t="s">
        <v>280</v>
      </c>
      <c r="D95" s="113" t="s">
        <v>583</v>
      </c>
    </row>
    <row r="96" spans="2:4" ht="29" x14ac:dyDescent="0.35">
      <c r="B96" s="111">
        <v>512</v>
      </c>
      <c r="C96" s="89" t="s">
        <v>281</v>
      </c>
      <c r="D96" s="113" t="s">
        <v>584</v>
      </c>
    </row>
    <row r="97" spans="2:4" ht="29" x14ac:dyDescent="0.35">
      <c r="B97" s="111">
        <v>611</v>
      </c>
      <c r="C97" s="89" t="s">
        <v>282</v>
      </c>
      <c r="D97" s="113" t="s">
        <v>585</v>
      </c>
    </row>
    <row r="98" spans="2:4" x14ac:dyDescent="0.35">
      <c r="B98" s="111">
        <v>711</v>
      </c>
      <c r="C98" s="89" t="s">
        <v>68</v>
      </c>
      <c r="D98" s="113" t="s">
        <v>586</v>
      </c>
    </row>
    <row r="99" spans="2:4" x14ac:dyDescent="0.35">
      <c r="B99" s="111">
        <v>911</v>
      </c>
      <c r="C99" s="89" t="s">
        <v>283</v>
      </c>
      <c r="D99" s="113" t="s">
        <v>587</v>
      </c>
    </row>
    <row r="100" spans="2:4" ht="15" thickBot="1" x14ac:dyDescent="0.4">
      <c r="B100" s="114">
        <v>921</v>
      </c>
      <c r="C100" s="90" t="s">
        <v>284</v>
      </c>
      <c r="D100" s="115" t="s">
        <v>588</v>
      </c>
    </row>
    <row r="101" spans="2:4" x14ac:dyDescent="0.35">
      <c r="B101" s="9"/>
      <c r="C101" s="9"/>
      <c r="D101" s="9"/>
    </row>
    <row r="102" spans="2:4" ht="15" thickBot="1" x14ac:dyDescent="0.4">
      <c r="B102" s="9"/>
      <c r="C102" s="9"/>
      <c r="D102" s="9"/>
    </row>
    <row r="103" spans="2:4" x14ac:dyDescent="0.35">
      <c r="B103" s="744" t="s">
        <v>389</v>
      </c>
      <c r="C103" s="745"/>
      <c r="D103" s="746"/>
    </row>
    <row r="104" spans="2:4" ht="15" thickBot="1" x14ac:dyDescent="0.4">
      <c r="B104" s="98" t="s">
        <v>443</v>
      </c>
      <c r="C104" s="99" t="s">
        <v>463</v>
      </c>
      <c r="D104" s="100" t="s">
        <v>534</v>
      </c>
    </row>
    <row r="105" spans="2:4" ht="15" thickTop="1" x14ac:dyDescent="0.35">
      <c r="B105" s="110">
        <v>1</v>
      </c>
      <c r="C105" s="88" t="s">
        <v>589</v>
      </c>
      <c r="D105" s="119" t="s">
        <v>590</v>
      </c>
    </row>
    <row r="106" spans="2:4" x14ac:dyDescent="0.35">
      <c r="B106" s="111">
        <v>2</v>
      </c>
      <c r="C106" s="89" t="s">
        <v>591</v>
      </c>
      <c r="D106" s="113" t="s">
        <v>592</v>
      </c>
    </row>
    <row r="107" spans="2:4" ht="15" thickBot="1" x14ac:dyDescent="0.4">
      <c r="B107" s="114">
        <v>3</v>
      </c>
      <c r="C107" s="90" t="s">
        <v>593</v>
      </c>
      <c r="D107" s="115" t="s">
        <v>594</v>
      </c>
    </row>
    <row r="108" spans="2:4" x14ac:dyDescent="0.35">
      <c r="B108" s="9"/>
      <c r="C108" s="9"/>
      <c r="D108" s="9"/>
    </row>
    <row r="109" spans="2:4" ht="15" thickBot="1" x14ac:dyDescent="0.4">
      <c r="B109" s="9"/>
      <c r="C109" s="9"/>
      <c r="D109" s="9"/>
    </row>
    <row r="110" spans="2:4" x14ac:dyDescent="0.35">
      <c r="B110" s="744" t="s">
        <v>391</v>
      </c>
      <c r="C110" s="745"/>
      <c r="D110" s="746"/>
    </row>
    <row r="111" spans="2:4" ht="15" thickBot="1" x14ac:dyDescent="0.4">
      <c r="B111" s="98" t="s">
        <v>443</v>
      </c>
      <c r="C111" s="99" t="s">
        <v>463</v>
      </c>
      <c r="D111" s="100" t="s">
        <v>534</v>
      </c>
    </row>
    <row r="112" spans="2:4" ht="15" thickTop="1" x14ac:dyDescent="0.35">
      <c r="B112" s="110">
        <v>1</v>
      </c>
      <c r="C112" s="88" t="s">
        <v>595</v>
      </c>
      <c r="D112" s="119" t="s">
        <v>596</v>
      </c>
    </row>
    <row r="113" spans="2:4" ht="29" x14ac:dyDescent="0.35">
      <c r="B113" s="111">
        <v>2</v>
      </c>
      <c r="C113" s="89" t="s">
        <v>597</v>
      </c>
      <c r="D113" s="113" t="s">
        <v>598</v>
      </c>
    </row>
    <row r="114" spans="2:4" ht="15" thickBot="1" x14ac:dyDescent="0.4">
      <c r="B114" s="114">
        <v>8</v>
      </c>
      <c r="C114" s="90" t="s">
        <v>286</v>
      </c>
      <c r="D114" s="115" t="s">
        <v>599</v>
      </c>
    </row>
    <row r="115" spans="2:4" x14ac:dyDescent="0.35">
      <c r="B115" s="9"/>
      <c r="C115" s="9"/>
      <c r="D115" s="9"/>
    </row>
    <row r="116" spans="2:4" ht="15" thickBot="1" x14ac:dyDescent="0.4">
      <c r="B116" s="9"/>
      <c r="C116" s="9"/>
      <c r="D116" s="9"/>
    </row>
    <row r="117" spans="2:4" x14ac:dyDescent="0.35">
      <c r="B117" s="744" t="s">
        <v>394</v>
      </c>
      <c r="C117" s="745"/>
      <c r="D117" s="746"/>
    </row>
    <row r="118" spans="2:4" ht="15" thickBot="1" x14ac:dyDescent="0.4">
      <c r="B118" s="98" t="s">
        <v>443</v>
      </c>
      <c r="C118" s="99" t="s">
        <v>463</v>
      </c>
      <c r="D118" s="100" t="s">
        <v>534</v>
      </c>
    </row>
    <row r="119" spans="2:4" ht="15" thickTop="1" x14ac:dyDescent="0.35">
      <c r="B119" s="110">
        <v>8</v>
      </c>
      <c r="C119" s="88" t="s">
        <v>286</v>
      </c>
      <c r="D119" s="119" t="s">
        <v>600</v>
      </c>
    </row>
    <row r="120" spans="2:4" x14ac:dyDescent="0.35">
      <c r="B120" s="111">
        <v>9</v>
      </c>
      <c r="C120" s="89" t="s">
        <v>287</v>
      </c>
      <c r="D120" s="113" t="s">
        <v>601</v>
      </c>
    </row>
    <row r="121" spans="2:4" x14ac:dyDescent="0.35">
      <c r="B121" s="111">
        <v>10</v>
      </c>
      <c r="C121" s="89" t="s">
        <v>288</v>
      </c>
      <c r="D121" s="113" t="s">
        <v>602</v>
      </c>
    </row>
    <row r="122" spans="2:4" x14ac:dyDescent="0.35">
      <c r="B122" s="120">
        <v>21</v>
      </c>
      <c r="C122" s="89" t="s">
        <v>289</v>
      </c>
      <c r="D122" s="113" t="s">
        <v>603</v>
      </c>
    </row>
    <row r="123" spans="2:4" ht="29" x14ac:dyDescent="0.35">
      <c r="B123" s="120">
        <v>22</v>
      </c>
      <c r="C123" s="89" t="s">
        <v>290</v>
      </c>
      <c r="D123" s="113" t="s">
        <v>604</v>
      </c>
    </row>
    <row r="124" spans="2:4" ht="29.5" thickBot="1" x14ac:dyDescent="0.4">
      <c r="B124" s="114">
        <v>80</v>
      </c>
      <c r="C124" s="90" t="s">
        <v>291</v>
      </c>
      <c r="D124" s="115" t="s">
        <v>605</v>
      </c>
    </row>
    <row r="125" spans="2:4" x14ac:dyDescent="0.35">
      <c r="B125" s="9"/>
      <c r="C125" s="9"/>
      <c r="D125" s="9"/>
    </row>
    <row r="126" spans="2:4" ht="15" thickBot="1" x14ac:dyDescent="0.4">
      <c r="B126" s="9"/>
      <c r="C126" s="9"/>
      <c r="D126" s="9"/>
    </row>
    <row r="127" spans="2:4" x14ac:dyDescent="0.35">
      <c r="B127" s="744" t="s">
        <v>396</v>
      </c>
      <c r="C127" s="745"/>
      <c r="D127" s="746"/>
    </row>
    <row r="128" spans="2:4" ht="15" thickBot="1" x14ac:dyDescent="0.4">
      <c r="B128" s="98" t="s">
        <v>443</v>
      </c>
      <c r="C128" s="99" t="s">
        <v>463</v>
      </c>
      <c r="D128" s="100" t="s">
        <v>534</v>
      </c>
    </row>
    <row r="129" spans="2:4" ht="15" thickTop="1" x14ac:dyDescent="0.35">
      <c r="B129" s="110">
        <v>1</v>
      </c>
      <c r="C129" s="88" t="s">
        <v>606</v>
      </c>
      <c r="D129" s="119" t="s">
        <v>607</v>
      </c>
    </row>
    <row r="130" spans="2:4" x14ac:dyDescent="0.35">
      <c r="B130" s="111">
        <v>2</v>
      </c>
      <c r="C130" s="89" t="s">
        <v>608</v>
      </c>
      <c r="D130" s="113" t="s">
        <v>601</v>
      </c>
    </row>
    <row r="131" spans="2:4" ht="15" thickBot="1" x14ac:dyDescent="0.4">
      <c r="B131" s="114">
        <v>8</v>
      </c>
      <c r="C131" s="90" t="s">
        <v>286</v>
      </c>
      <c r="D131" s="115" t="s">
        <v>609</v>
      </c>
    </row>
    <row r="132" spans="2:4" x14ac:dyDescent="0.35">
      <c r="B132" s="9"/>
      <c r="C132" s="9"/>
      <c r="D132" s="9"/>
    </row>
    <row r="133" spans="2:4" ht="15" thickBot="1" x14ac:dyDescent="0.4">
      <c r="B133" s="9"/>
      <c r="C133" s="9"/>
      <c r="D133" s="9"/>
    </row>
    <row r="134" spans="2:4" x14ac:dyDescent="0.35">
      <c r="B134" s="744" t="s">
        <v>398</v>
      </c>
      <c r="C134" s="745"/>
      <c r="D134" s="746"/>
    </row>
    <row r="135" spans="2:4" ht="15" thickBot="1" x14ac:dyDescent="0.4">
      <c r="B135" s="98" t="s">
        <v>443</v>
      </c>
      <c r="C135" s="99" t="s">
        <v>463</v>
      </c>
      <c r="D135" s="100" t="s">
        <v>534</v>
      </c>
    </row>
    <row r="136" spans="2:4" ht="29.5" thickTop="1" x14ac:dyDescent="0.35">
      <c r="B136" s="110">
        <v>2</v>
      </c>
      <c r="C136" s="88" t="s">
        <v>610</v>
      </c>
      <c r="D136" s="119" t="s">
        <v>611</v>
      </c>
    </row>
    <row r="137" spans="2:4" x14ac:dyDescent="0.35">
      <c r="B137" s="111">
        <v>7</v>
      </c>
      <c r="C137" s="89" t="s">
        <v>612</v>
      </c>
      <c r="D137" s="113" t="s">
        <v>613</v>
      </c>
    </row>
    <row r="138" spans="2:4" x14ac:dyDescent="0.35">
      <c r="B138" s="111">
        <v>8</v>
      </c>
      <c r="C138" s="89" t="s">
        <v>286</v>
      </c>
      <c r="D138" s="113" t="s">
        <v>613</v>
      </c>
    </row>
    <row r="139" spans="2:4" x14ac:dyDescent="0.35">
      <c r="B139" s="111">
        <v>9</v>
      </c>
      <c r="C139" s="89" t="s">
        <v>287</v>
      </c>
      <c r="D139" s="113" t="s">
        <v>601</v>
      </c>
    </row>
    <row r="140" spans="2:4" x14ac:dyDescent="0.35">
      <c r="B140" s="111">
        <v>10</v>
      </c>
      <c r="C140" s="89" t="s">
        <v>614</v>
      </c>
      <c r="D140" s="113" t="s">
        <v>613</v>
      </c>
    </row>
    <row r="141" spans="2:4" x14ac:dyDescent="0.35">
      <c r="B141" s="111">
        <v>30</v>
      </c>
      <c r="C141" s="89" t="s">
        <v>615</v>
      </c>
      <c r="D141" s="113" t="s">
        <v>613</v>
      </c>
    </row>
    <row r="142" spans="2:4" x14ac:dyDescent="0.35">
      <c r="B142" s="111">
        <v>40</v>
      </c>
      <c r="C142" s="89" t="s">
        <v>616</v>
      </c>
      <c r="D142" s="113" t="s">
        <v>613</v>
      </c>
    </row>
    <row r="143" spans="2:4" x14ac:dyDescent="0.35">
      <c r="B143" s="111">
        <v>50</v>
      </c>
      <c r="C143" s="89" t="s">
        <v>617</v>
      </c>
      <c r="D143" s="113" t="s">
        <v>613</v>
      </c>
    </row>
    <row r="144" spans="2:4" x14ac:dyDescent="0.35">
      <c r="B144" s="111">
        <v>60</v>
      </c>
      <c r="C144" s="89" t="s">
        <v>618</v>
      </c>
      <c r="D144" s="113" t="s">
        <v>613</v>
      </c>
    </row>
    <row r="145" spans="2:4" ht="15" thickBot="1" x14ac:dyDescent="0.4">
      <c r="B145" s="114">
        <v>80</v>
      </c>
      <c r="C145" s="90" t="s">
        <v>619</v>
      </c>
      <c r="D145" s="115" t="s">
        <v>613</v>
      </c>
    </row>
    <row r="146" spans="2:4" x14ac:dyDescent="0.35">
      <c r="B146" s="9"/>
      <c r="C146" s="9"/>
      <c r="D146" s="9"/>
    </row>
    <row r="147" spans="2:4" ht="15" thickBot="1" x14ac:dyDescent="0.4">
      <c r="B147" s="9"/>
      <c r="C147" s="9"/>
      <c r="D147" s="9"/>
    </row>
    <row r="148" spans="2:4" x14ac:dyDescent="0.35">
      <c r="B148" s="744" t="s">
        <v>401</v>
      </c>
      <c r="C148" s="745"/>
      <c r="D148" s="746"/>
    </row>
    <row r="149" spans="2:4" ht="15" thickBot="1" x14ac:dyDescent="0.4">
      <c r="B149" s="98" t="s">
        <v>443</v>
      </c>
      <c r="C149" s="99" t="s">
        <v>463</v>
      </c>
      <c r="D149" s="100" t="s">
        <v>534</v>
      </c>
    </row>
    <row r="150" spans="2:4" ht="15" thickTop="1" x14ac:dyDescent="0.35">
      <c r="B150" s="110">
        <v>1</v>
      </c>
      <c r="C150" s="88" t="s">
        <v>620</v>
      </c>
      <c r="D150" s="119" t="s">
        <v>613</v>
      </c>
    </row>
    <row r="151" spans="2:4" x14ac:dyDescent="0.35">
      <c r="B151" s="111">
        <v>5</v>
      </c>
      <c r="C151" s="89" t="s">
        <v>621</v>
      </c>
      <c r="D151" s="113" t="s">
        <v>613</v>
      </c>
    </row>
    <row r="152" spans="2:4" x14ac:dyDescent="0.35">
      <c r="B152" s="111">
        <v>20</v>
      </c>
      <c r="C152" s="89" t="s">
        <v>622</v>
      </c>
      <c r="D152" s="113" t="s">
        <v>613</v>
      </c>
    </row>
    <row r="153" spans="2:4" x14ac:dyDescent="0.35">
      <c r="B153" s="111">
        <v>30</v>
      </c>
      <c r="C153" s="89" t="s">
        <v>623</v>
      </c>
      <c r="D153" s="113" t="s">
        <v>613</v>
      </c>
    </row>
    <row r="154" spans="2:4" ht="15" thickBot="1" x14ac:dyDescent="0.4">
      <c r="B154" s="114">
        <v>40</v>
      </c>
      <c r="C154" s="90" t="s">
        <v>624</v>
      </c>
      <c r="D154" s="115" t="s">
        <v>601</v>
      </c>
    </row>
    <row r="155" spans="2:4" x14ac:dyDescent="0.35">
      <c r="B155" s="9"/>
      <c r="C155" s="9"/>
      <c r="D155" s="9"/>
    </row>
    <row r="156" spans="2:4" ht="15" thickBot="1" x14ac:dyDescent="0.4">
      <c r="B156" s="9"/>
      <c r="C156" s="9"/>
      <c r="D156" s="9"/>
    </row>
    <row r="157" spans="2:4" x14ac:dyDescent="0.35">
      <c r="B157" s="744" t="s">
        <v>403</v>
      </c>
      <c r="C157" s="745"/>
      <c r="D157" s="746"/>
    </row>
    <row r="158" spans="2:4" ht="15" thickBot="1" x14ac:dyDescent="0.4">
      <c r="B158" s="98" t="s">
        <v>443</v>
      </c>
      <c r="C158" s="99" t="s">
        <v>463</v>
      </c>
      <c r="D158" s="100" t="s">
        <v>534</v>
      </c>
    </row>
    <row r="159" spans="2:4" ht="15" thickTop="1" x14ac:dyDescent="0.35">
      <c r="B159" s="110">
        <v>1</v>
      </c>
      <c r="C159" s="88" t="s">
        <v>589</v>
      </c>
      <c r="D159" s="119" t="s">
        <v>613</v>
      </c>
    </row>
    <row r="160" spans="2:4" x14ac:dyDescent="0.35">
      <c r="B160" s="111">
        <v>2</v>
      </c>
      <c r="C160" s="89" t="s">
        <v>625</v>
      </c>
      <c r="D160" s="113" t="s">
        <v>613</v>
      </c>
    </row>
    <row r="161" spans="2:4" x14ac:dyDescent="0.35">
      <c r="B161" s="111">
        <v>3</v>
      </c>
      <c r="C161" s="89" t="s">
        <v>591</v>
      </c>
      <c r="D161" s="113" t="s">
        <v>613</v>
      </c>
    </row>
    <row r="162" spans="2:4" x14ac:dyDescent="0.35">
      <c r="B162" s="111">
        <v>4</v>
      </c>
      <c r="C162" s="89" t="s">
        <v>593</v>
      </c>
      <c r="D162" s="113" t="s">
        <v>613</v>
      </c>
    </row>
    <row r="163" spans="2:4" ht="15" thickBot="1" x14ac:dyDescent="0.4">
      <c r="B163" s="114">
        <v>9</v>
      </c>
      <c r="C163" s="90" t="s">
        <v>624</v>
      </c>
      <c r="D163" s="115" t="s">
        <v>601</v>
      </c>
    </row>
    <row r="164" spans="2:4" x14ac:dyDescent="0.35">
      <c r="B164" s="9"/>
      <c r="C164" s="9"/>
      <c r="D164" s="9"/>
    </row>
    <row r="165" spans="2:4" ht="15" thickBot="1" x14ac:dyDescent="0.4">
      <c r="B165" s="9"/>
      <c r="C165" s="9"/>
      <c r="D165" s="9"/>
    </row>
    <row r="166" spans="2:4" x14ac:dyDescent="0.35">
      <c r="B166" s="744" t="s">
        <v>405</v>
      </c>
      <c r="C166" s="745"/>
      <c r="D166" s="746"/>
    </row>
    <row r="167" spans="2:4" ht="15" thickBot="1" x14ac:dyDescent="0.4">
      <c r="B167" s="121" t="s">
        <v>443</v>
      </c>
      <c r="C167" s="122" t="s">
        <v>463</v>
      </c>
      <c r="D167" s="100" t="s">
        <v>534</v>
      </c>
    </row>
    <row r="168" spans="2:4" ht="15" thickTop="1" x14ac:dyDescent="0.35">
      <c r="B168" s="110">
        <v>1</v>
      </c>
      <c r="C168" s="88" t="s">
        <v>626</v>
      </c>
      <c r="D168" s="119" t="s">
        <v>613</v>
      </c>
    </row>
    <row r="169" spans="2:4" x14ac:dyDescent="0.35">
      <c r="B169" s="111">
        <v>2</v>
      </c>
      <c r="C169" s="89" t="s">
        <v>619</v>
      </c>
      <c r="D169" s="113" t="s">
        <v>613</v>
      </c>
    </row>
    <row r="170" spans="2:4" x14ac:dyDescent="0.35">
      <c r="B170" s="111">
        <v>7</v>
      </c>
      <c r="C170" s="89" t="s">
        <v>612</v>
      </c>
      <c r="D170" s="113" t="s">
        <v>613</v>
      </c>
    </row>
    <row r="171" spans="2:4" ht="15" thickBot="1" x14ac:dyDescent="0.4">
      <c r="B171" s="114">
        <v>9</v>
      </c>
      <c r="C171" s="90" t="s">
        <v>287</v>
      </c>
      <c r="D171" s="115" t="s">
        <v>601</v>
      </c>
    </row>
    <row r="172" spans="2:4" x14ac:dyDescent="0.35">
      <c r="B172" s="9"/>
      <c r="C172" s="9"/>
      <c r="D172" s="9"/>
    </row>
    <row r="173" spans="2:4" ht="15" thickBot="1" x14ac:dyDescent="0.4">
      <c r="B173" s="9"/>
      <c r="C173" s="9"/>
      <c r="D173" s="9"/>
    </row>
    <row r="174" spans="2:4" x14ac:dyDescent="0.35">
      <c r="B174" s="744" t="s">
        <v>408</v>
      </c>
      <c r="C174" s="745"/>
      <c r="D174" s="746"/>
    </row>
    <row r="175" spans="2:4" ht="15" thickBot="1" x14ac:dyDescent="0.4">
      <c r="B175" s="98" t="s">
        <v>443</v>
      </c>
      <c r="C175" s="99" t="s">
        <v>463</v>
      </c>
      <c r="D175" s="100" t="s">
        <v>534</v>
      </c>
    </row>
    <row r="176" spans="2:4" ht="15" thickTop="1" x14ac:dyDescent="0.35">
      <c r="B176" s="110">
        <v>10</v>
      </c>
      <c r="C176" s="88" t="s">
        <v>286</v>
      </c>
      <c r="D176" s="119" t="s">
        <v>627</v>
      </c>
    </row>
    <row r="177" spans="2:4" x14ac:dyDescent="0.35">
      <c r="B177" s="111">
        <v>21</v>
      </c>
      <c r="C177" s="89" t="s">
        <v>628</v>
      </c>
      <c r="D177" s="113" t="s">
        <v>629</v>
      </c>
    </row>
    <row r="178" spans="2:4" ht="15" thickBot="1" x14ac:dyDescent="0.4">
      <c r="B178" s="114">
        <v>20</v>
      </c>
      <c r="C178" s="90" t="s">
        <v>630</v>
      </c>
      <c r="D178" s="115" t="s">
        <v>601</v>
      </c>
    </row>
    <row r="179" spans="2:4" x14ac:dyDescent="0.35">
      <c r="B179" s="9"/>
      <c r="C179" s="9"/>
      <c r="D179" s="9"/>
    </row>
    <row r="180" spans="2:4" ht="15" thickBot="1" x14ac:dyDescent="0.4">
      <c r="B180" s="9"/>
      <c r="C180" s="9"/>
      <c r="D180" s="9"/>
    </row>
    <row r="181" spans="2:4" x14ac:dyDescent="0.35">
      <c r="B181" s="744" t="s">
        <v>410</v>
      </c>
      <c r="C181" s="745"/>
      <c r="D181" s="746"/>
    </row>
    <row r="182" spans="2:4" ht="15" thickBot="1" x14ac:dyDescent="0.4">
      <c r="B182" s="98" t="s">
        <v>443</v>
      </c>
      <c r="C182" s="99" t="s">
        <v>463</v>
      </c>
      <c r="D182" s="100" t="s">
        <v>534</v>
      </c>
    </row>
    <row r="183" spans="2:4" ht="15" thickTop="1" x14ac:dyDescent="0.35">
      <c r="B183" s="110">
        <v>1</v>
      </c>
      <c r="C183" s="88" t="s">
        <v>631</v>
      </c>
      <c r="D183" s="119" t="s">
        <v>613</v>
      </c>
    </row>
    <row r="184" spans="2:4" x14ac:dyDescent="0.35">
      <c r="B184" s="111">
        <v>2</v>
      </c>
      <c r="C184" s="89" t="s">
        <v>632</v>
      </c>
      <c r="D184" s="113" t="s">
        <v>613</v>
      </c>
    </row>
    <row r="185" spans="2:4" x14ac:dyDescent="0.35">
      <c r="B185" s="111">
        <v>3</v>
      </c>
      <c r="C185" s="89" t="s">
        <v>633</v>
      </c>
      <c r="D185" s="113" t="s">
        <v>613</v>
      </c>
    </row>
    <row r="186" spans="2:4" x14ac:dyDescent="0.35">
      <c r="B186" s="111">
        <v>4</v>
      </c>
      <c r="C186" s="89" t="s">
        <v>634</v>
      </c>
      <c r="D186" s="113" t="s">
        <v>613</v>
      </c>
    </row>
    <row r="187" spans="2:4" ht="15" thickBot="1" x14ac:dyDescent="0.4">
      <c r="B187" s="114">
        <v>5</v>
      </c>
      <c r="C187" s="90" t="s">
        <v>635</v>
      </c>
      <c r="D187" s="115" t="s">
        <v>613</v>
      </c>
    </row>
    <row r="188" spans="2:4" x14ac:dyDescent="0.35">
      <c r="B188" s="9"/>
      <c r="C188" s="9"/>
      <c r="D188" s="9"/>
    </row>
    <row r="189" spans="2:4" ht="15" thickBot="1" x14ac:dyDescent="0.4">
      <c r="B189" s="9"/>
      <c r="C189" s="9"/>
      <c r="D189" s="9"/>
    </row>
    <row r="190" spans="2:4" x14ac:dyDescent="0.35">
      <c r="B190" s="744" t="s">
        <v>413</v>
      </c>
      <c r="C190" s="745"/>
      <c r="D190" s="746"/>
    </row>
    <row r="191" spans="2:4" ht="15" thickBot="1" x14ac:dyDescent="0.4">
      <c r="B191" s="98" t="s">
        <v>443</v>
      </c>
      <c r="C191" s="99" t="s">
        <v>463</v>
      </c>
      <c r="D191" s="100" t="s">
        <v>534</v>
      </c>
    </row>
    <row r="192" spans="2:4" ht="15" thickTop="1" x14ac:dyDescent="0.35">
      <c r="B192" s="110">
        <v>1</v>
      </c>
      <c r="C192" s="88" t="s">
        <v>631</v>
      </c>
      <c r="D192" s="119" t="s">
        <v>613</v>
      </c>
    </row>
    <row r="193" spans="2:4" x14ac:dyDescent="0.35">
      <c r="B193" s="111">
        <v>2</v>
      </c>
      <c r="C193" s="89" t="s">
        <v>632</v>
      </c>
      <c r="D193" s="113" t="s">
        <v>613</v>
      </c>
    </row>
    <row r="194" spans="2:4" x14ac:dyDescent="0.35">
      <c r="B194" s="111">
        <v>3</v>
      </c>
      <c r="C194" s="89" t="s">
        <v>633</v>
      </c>
      <c r="D194" s="113" t="s">
        <v>613</v>
      </c>
    </row>
    <row r="195" spans="2:4" x14ac:dyDescent="0.35">
      <c r="B195" s="111">
        <v>4</v>
      </c>
      <c r="C195" s="89" t="s">
        <v>634</v>
      </c>
      <c r="D195" s="113" t="s">
        <v>613</v>
      </c>
    </row>
    <row r="196" spans="2:4" ht="15" thickBot="1" x14ac:dyDescent="0.4">
      <c r="B196" s="114">
        <v>5</v>
      </c>
      <c r="C196" s="90" t="s">
        <v>635</v>
      </c>
      <c r="D196" s="115" t="s">
        <v>613</v>
      </c>
    </row>
    <row r="197" spans="2:4" x14ac:dyDescent="0.35">
      <c r="B197" s="9"/>
      <c r="C197" s="9"/>
      <c r="D197" s="9"/>
    </row>
    <row r="198" spans="2:4" ht="15" thickBot="1" x14ac:dyDescent="0.4">
      <c r="B198" s="9"/>
      <c r="C198" s="9"/>
      <c r="D198" s="9"/>
    </row>
    <row r="199" spans="2:4" x14ac:dyDescent="0.35">
      <c r="B199" s="744" t="s">
        <v>416</v>
      </c>
      <c r="C199" s="745"/>
      <c r="D199" s="746"/>
    </row>
    <row r="200" spans="2:4" ht="15" thickBot="1" x14ac:dyDescent="0.4">
      <c r="B200" s="98" t="s">
        <v>443</v>
      </c>
      <c r="C200" s="99" t="s">
        <v>463</v>
      </c>
      <c r="D200" s="100" t="s">
        <v>534</v>
      </c>
    </row>
    <row r="201" spans="2:4" ht="15" thickTop="1" x14ac:dyDescent="0.35">
      <c r="B201" s="110">
        <v>20</v>
      </c>
      <c r="C201" s="88" t="s">
        <v>636</v>
      </c>
      <c r="D201" s="119" t="s">
        <v>613</v>
      </c>
    </row>
    <row r="202" spans="2:4" x14ac:dyDescent="0.35">
      <c r="B202" s="111">
        <v>40</v>
      </c>
      <c r="C202" s="89" t="s">
        <v>637</v>
      </c>
      <c r="D202" s="113" t="s">
        <v>613</v>
      </c>
    </row>
    <row r="203" spans="2:4" x14ac:dyDescent="0.35">
      <c r="B203" s="111">
        <v>60</v>
      </c>
      <c r="C203" s="89" t="s">
        <v>638</v>
      </c>
      <c r="D203" s="113" t="s">
        <v>613</v>
      </c>
    </row>
    <row r="204" spans="2:4" ht="15" thickBot="1" x14ac:dyDescent="0.4">
      <c r="B204" s="114">
        <v>80</v>
      </c>
      <c r="C204" s="90" t="s">
        <v>639</v>
      </c>
      <c r="D204" s="115" t="s">
        <v>613</v>
      </c>
    </row>
    <row r="205" spans="2:4" x14ac:dyDescent="0.35">
      <c r="B205" s="9"/>
      <c r="C205" s="9"/>
      <c r="D205" s="9"/>
    </row>
    <row r="206" spans="2:4" ht="15" thickBot="1" x14ac:dyDescent="0.4">
      <c r="B206" s="9"/>
      <c r="C206" s="9"/>
      <c r="D206" s="9"/>
    </row>
    <row r="207" spans="2:4" x14ac:dyDescent="0.35">
      <c r="B207" s="744" t="s">
        <v>419</v>
      </c>
      <c r="C207" s="745"/>
      <c r="D207" s="746"/>
    </row>
    <row r="208" spans="2:4" ht="15" thickBot="1" x14ac:dyDescent="0.4">
      <c r="B208" s="98" t="s">
        <v>443</v>
      </c>
      <c r="C208" s="99" t="s">
        <v>463</v>
      </c>
      <c r="D208" s="100" t="s">
        <v>534</v>
      </c>
    </row>
    <row r="209" spans="2:4" ht="15" thickTop="1" x14ac:dyDescent="0.35">
      <c r="B209" s="110">
        <v>1</v>
      </c>
      <c r="C209" s="88" t="s">
        <v>608</v>
      </c>
      <c r="D209" s="119" t="s">
        <v>613</v>
      </c>
    </row>
    <row r="210" spans="2:4" ht="15" thickBot="1" x14ac:dyDescent="0.4">
      <c r="B210" s="114">
        <v>8</v>
      </c>
      <c r="C210" s="90" t="s">
        <v>640</v>
      </c>
      <c r="D210" s="115" t="s">
        <v>613</v>
      </c>
    </row>
    <row r="211" spans="2:4" x14ac:dyDescent="0.35">
      <c r="B211" s="9"/>
      <c r="C211" s="9"/>
      <c r="D211" s="9"/>
    </row>
    <row r="212" spans="2:4" ht="15" thickBot="1" x14ac:dyDescent="0.4">
      <c r="B212" s="9"/>
      <c r="C212" s="9"/>
      <c r="D212" s="9"/>
    </row>
    <row r="213" spans="2:4" x14ac:dyDescent="0.35">
      <c r="B213" s="744" t="s">
        <v>423</v>
      </c>
      <c r="C213" s="745"/>
      <c r="D213" s="746"/>
    </row>
    <row r="214" spans="2:4" ht="15" thickBot="1" x14ac:dyDescent="0.4">
      <c r="B214" s="98" t="s">
        <v>443</v>
      </c>
      <c r="C214" s="99" t="s">
        <v>463</v>
      </c>
      <c r="D214" s="100" t="s">
        <v>534</v>
      </c>
    </row>
    <row r="215" spans="2:4" ht="15" thickTop="1" x14ac:dyDescent="0.35">
      <c r="B215" s="110">
        <v>1</v>
      </c>
      <c r="C215" s="88" t="s">
        <v>608</v>
      </c>
      <c r="D215" s="119" t="s">
        <v>613</v>
      </c>
    </row>
    <row r="216" spans="2:4" ht="15" thickBot="1" x14ac:dyDescent="0.4">
      <c r="B216" s="114">
        <v>8</v>
      </c>
      <c r="C216" s="90" t="s">
        <v>640</v>
      </c>
      <c r="D216" s="115" t="s">
        <v>613</v>
      </c>
    </row>
    <row r="217" spans="2:4" x14ac:dyDescent="0.35">
      <c r="B217" s="9"/>
      <c r="C217" s="9"/>
      <c r="D217" s="9"/>
    </row>
    <row r="218" spans="2:4" ht="15" thickBot="1" x14ac:dyDescent="0.4">
      <c r="B218" s="9"/>
      <c r="C218" s="9"/>
      <c r="D218" s="9"/>
    </row>
    <row r="219" spans="2:4" x14ac:dyDescent="0.35">
      <c r="B219" s="744" t="s">
        <v>426</v>
      </c>
      <c r="C219" s="745"/>
      <c r="D219" s="746"/>
    </row>
    <row r="220" spans="2:4" ht="15" thickBot="1" x14ac:dyDescent="0.4">
      <c r="B220" s="98" t="s">
        <v>443</v>
      </c>
      <c r="C220" s="99" t="s">
        <v>463</v>
      </c>
      <c r="D220" s="100" t="s">
        <v>534</v>
      </c>
    </row>
    <row r="221" spans="2:4" ht="15" thickTop="1" x14ac:dyDescent="0.35">
      <c r="B221" s="110">
        <v>10</v>
      </c>
      <c r="C221" s="88" t="s">
        <v>641</v>
      </c>
      <c r="D221" s="119" t="s">
        <v>613</v>
      </c>
    </row>
    <row r="222" spans="2:4" x14ac:dyDescent="0.35">
      <c r="B222" s="111">
        <v>11</v>
      </c>
      <c r="C222" s="89" t="s">
        <v>642</v>
      </c>
      <c r="D222" s="113" t="s">
        <v>613</v>
      </c>
    </row>
    <row r="223" spans="2:4" x14ac:dyDescent="0.35">
      <c r="B223" s="111">
        <v>20</v>
      </c>
      <c r="C223" s="89" t="s">
        <v>643</v>
      </c>
      <c r="D223" s="113" t="s">
        <v>613</v>
      </c>
    </row>
    <row r="224" spans="2:4" ht="15" thickBot="1" x14ac:dyDescent="0.4">
      <c r="B224" s="114">
        <v>21</v>
      </c>
      <c r="C224" s="90" t="s">
        <v>644</v>
      </c>
      <c r="D224" s="115" t="s">
        <v>613</v>
      </c>
    </row>
    <row r="225" spans="2:4" x14ac:dyDescent="0.35">
      <c r="B225" s="9"/>
      <c r="C225" s="9"/>
      <c r="D225" s="9"/>
    </row>
    <row r="226" spans="2:4" ht="15" thickBot="1" x14ac:dyDescent="0.4"/>
    <row r="227" spans="2:4" x14ac:dyDescent="0.35">
      <c r="B227" s="744" t="s">
        <v>429</v>
      </c>
      <c r="C227" s="745"/>
      <c r="D227" s="746"/>
    </row>
    <row r="228" spans="2:4" ht="15" thickBot="1" x14ac:dyDescent="0.4">
      <c r="B228" s="98" t="s">
        <v>443</v>
      </c>
      <c r="C228" s="99" t="s">
        <v>463</v>
      </c>
      <c r="D228" s="100" t="s">
        <v>645</v>
      </c>
    </row>
    <row r="229" spans="2:4" ht="15" thickTop="1" x14ac:dyDescent="0.35">
      <c r="B229" s="110">
        <v>0</v>
      </c>
      <c r="C229" s="88" t="s">
        <v>646</v>
      </c>
      <c r="D229" s="119" t="s">
        <v>647</v>
      </c>
    </row>
    <row r="230" spans="2:4" x14ac:dyDescent="0.35">
      <c r="B230" s="111">
        <v>1</v>
      </c>
      <c r="C230" s="89" t="s">
        <v>648</v>
      </c>
      <c r="D230" s="113" t="s">
        <v>649</v>
      </c>
    </row>
    <row r="231" spans="2:4" ht="15" thickBot="1" x14ac:dyDescent="0.4">
      <c r="B231" s="114">
        <v>2</v>
      </c>
      <c r="C231" s="90" t="s">
        <v>650</v>
      </c>
      <c r="D231" s="115" t="s">
        <v>651</v>
      </c>
    </row>
    <row r="232" spans="2:4" x14ac:dyDescent="0.35">
      <c r="B232" s="9"/>
      <c r="C232" s="9"/>
      <c r="D232" s="9"/>
    </row>
  </sheetData>
  <mergeCells count="21">
    <mergeCell ref="B157:D157"/>
    <mergeCell ref="B2:D2"/>
    <mergeCell ref="B27:D27"/>
    <mergeCell ref="B46:D46"/>
    <mergeCell ref="B60:D60"/>
    <mergeCell ref="B84:D84"/>
    <mergeCell ref="B103:D103"/>
    <mergeCell ref="B110:D110"/>
    <mergeCell ref="B117:D117"/>
    <mergeCell ref="B127:D127"/>
    <mergeCell ref="B134:D134"/>
    <mergeCell ref="B148:D148"/>
    <mergeCell ref="B213:D213"/>
    <mergeCell ref="B219:D219"/>
    <mergeCell ref="B227:D227"/>
    <mergeCell ref="B166:D166"/>
    <mergeCell ref="B174:D174"/>
    <mergeCell ref="B181:D181"/>
    <mergeCell ref="B190:D190"/>
    <mergeCell ref="B199:D199"/>
    <mergeCell ref="B207:D207"/>
  </mergeCells>
  <pageMargins left="0.7" right="0.7" top="0.75" bottom="0.75" header="0.3" footer="0.3"/>
  <headerFooter>
    <oddFooter>&amp;C_x000D_&amp;1#&amp;"Calibri"&amp;8&amp;K000000 INTERNAL. This information is accessible to ADB Management and staff. It may be shared outside ADB with appropriate permission.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AR-Hierarchy </vt:lpstr>
      <vt:lpstr>Civil Aviation Buildings</vt:lpstr>
      <vt:lpstr>CIE Buildings</vt:lpstr>
      <vt:lpstr>Dept of Education Buildings</vt:lpstr>
      <vt:lpstr>Health Buildings</vt:lpstr>
      <vt:lpstr>Dept of Infrastructure</vt:lpstr>
      <vt:lpstr>Emergency Services</vt:lpstr>
      <vt:lpstr>Fisheries Buildings</vt:lpstr>
      <vt:lpstr>ICT Buildings</vt:lpstr>
      <vt:lpstr>Justice and Border Cont Bldings</vt:lpstr>
      <vt:lpstr>Multi Cuture Affairs Bldgs</vt:lpstr>
      <vt:lpstr>Nauru Media Bureau</vt:lpstr>
      <vt:lpstr>Port Authority Buildings</vt:lpstr>
      <vt:lpstr>Police Force builidngs</vt:lpstr>
      <vt:lpstr>Public Serv Admin</vt:lpstr>
      <vt:lpstr>Asset Register Summary</vt:lpstr>
      <vt:lpstr>Sealed Roads</vt:lpstr>
      <vt:lpstr>Footpath</vt:lpstr>
      <vt:lpstr>Unsealed Roads</vt:lpstr>
      <vt:lpstr>Airstrip</vt:lpstr>
      <vt:lpstr>Air Navigation Equipment</vt:lpstr>
      <vt:lpstr>Seawalls</vt:lpstr>
      <vt:lpstr>Boat Harbor</vt:lpstr>
      <vt:lpstr>ICT Towers &amp; Other Equipment</vt:lpstr>
      <vt:lpstr>GRC and TUL Assumptions</vt:lpstr>
      <vt:lpstr>Maintenace Cost Assumptions</vt:lpstr>
      <vt:lpstr>Inflation Adjustments</vt:lpstr>
      <vt:lpstr>Condition rating weights</vt:lpstr>
      <vt:lpstr>PCRAFI Meta Data</vt:lpstr>
      <vt:lpstr>Building Meta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Shawn</dc:creator>
  <cp:lastModifiedBy>Caroline Fusimalohi</cp:lastModifiedBy>
  <cp:lastPrinted>2019-03-13T16:51:50Z</cp:lastPrinted>
  <dcterms:created xsi:type="dcterms:W3CDTF">2018-07-07T00:49:49Z</dcterms:created>
  <dcterms:modified xsi:type="dcterms:W3CDTF">2024-08-15T06:11:18Z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17d4574-7375-4d17-b29c-6e4c6df0fcb0_Enabled">
    <vt:lpwstr>true</vt:lpwstr>
  </property>
  <property fmtid="{D5CDD505-2E9C-101B-9397-08002B2CF9AE}" pid="3" name="MSIP_Label_817d4574-7375-4d17-b29c-6e4c6df0fcb0_SetDate">
    <vt:lpwstr>2024-08-15T06:10:54Z</vt:lpwstr>
  </property>
  <property fmtid="{D5CDD505-2E9C-101B-9397-08002B2CF9AE}" pid="4" name="MSIP_Label_817d4574-7375-4d17-b29c-6e4c6df0fcb0_Method">
    <vt:lpwstr>Standard</vt:lpwstr>
  </property>
  <property fmtid="{D5CDD505-2E9C-101B-9397-08002B2CF9AE}" pid="5" name="MSIP_Label_817d4574-7375-4d17-b29c-6e4c6df0fcb0_Name">
    <vt:lpwstr>ADB Internal</vt:lpwstr>
  </property>
  <property fmtid="{D5CDD505-2E9C-101B-9397-08002B2CF9AE}" pid="6" name="MSIP_Label_817d4574-7375-4d17-b29c-6e4c6df0fcb0_SiteId">
    <vt:lpwstr>9495d6bb-41c2-4c58-848f-92e52cf3d640</vt:lpwstr>
  </property>
  <property fmtid="{D5CDD505-2E9C-101B-9397-08002B2CF9AE}" pid="7" name="MSIP_Label_817d4574-7375-4d17-b29c-6e4c6df0fcb0_ActionId">
    <vt:lpwstr>99401ce5-0a65-4370-9cc4-8bc713a77bfe</vt:lpwstr>
  </property>
  <property fmtid="{D5CDD505-2E9C-101B-9397-08002B2CF9AE}" pid="8" name="MSIP_Label_817d4574-7375-4d17-b29c-6e4c6df0fcb0_ContentBits">
    <vt:lpwstr>2</vt:lpwstr>
  </property>
</Properties>
</file>